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gpgonline-my.sharepoint.com/personal/shoneez_martins_gauteng_gov_za/Documents/Portfolio Committee/2022-23/4 November 2022/"/>
    </mc:Choice>
  </mc:AlternateContent>
  <xr:revisionPtr revIDLastSave="0" documentId="8_{0E183623-3E6D-4196-8F75-11E7A5A65753}" xr6:coauthVersionLast="47" xr6:coauthVersionMax="47" xr10:uidLastSave="{00000000-0000-0000-0000-000000000000}"/>
  <bookViews>
    <workbookView xWindow="-110" yWindow="-110" windowWidth="19420" windowHeight="10420" firstSheet="18" activeTab="18" xr2:uid="{00000000-000D-0000-FFFF-FFFF00000000}"/>
  </bookViews>
  <sheets>
    <sheet name="Active Debtors" sheetId="1" state="hidden" r:id="rId1"/>
    <sheet name="Inactive Debtors" sheetId="2" state="hidden" r:id="rId2"/>
    <sheet name="Sheet3" sheetId="3" state="hidden" r:id="rId3"/>
    <sheet name="Sheet1" sheetId="4" state="hidden" r:id="rId4"/>
    <sheet name="Sheet2" sheetId="5" state="hidden" r:id="rId5"/>
    <sheet name="2013-2014" sheetId="7" state="hidden" r:id="rId6"/>
    <sheet name="2014-2015" sheetId="9" state="hidden" r:id="rId7"/>
    <sheet name="2015-2016" sheetId="10" state="hidden" r:id="rId8"/>
    <sheet name="2016-2017" sheetId="13" state="hidden" r:id="rId9"/>
    <sheet name="2017-2018" sheetId="14" state="hidden" r:id="rId10"/>
    <sheet name="2018-2019" sheetId="18" state="hidden" r:id="rId11"/>
    <sheet name="2019-2020" sheetId="19" state="hidden" r:id="rId12"/>
    <sheet name="2020-2021" sheetId="27" state="hidden" r:id="rId13"/>
    <sheet name="Sheet4" sheetId="28" state="hidden" r:id="rId14"/>
    <sheet name="Sheet5" sheetId="29" state="hidden" r:id="rId15"/>
    <sheet name="2021-2022" sheetId="30" state="hidden" r:id="rId16"/>
    <sheet name="Sheet20" sheetId="50" state="hidden" r:id="rId17"/>
    <sheet name="Sheet22" sheetId="52" state="hidden" r:id="rId18"/>
    <sheet name="Debtors report" sheetId="78" r:id="rId19"/>
    <sheet name="Sheet26" sheetId="62" state="hidden" r:id="rId20"/>
    <sheet name="Sheet28" sheetId="64" state="hidden" r:id="rId21"/>
    <sheet name="Sheet29" sheetId="66" state="hidden" r:id="rId22"/>
    <sheet name="Sheet27" sheetId="65" state="hidden" r:id="rId23"/>
    <sheet name="income report" sheetId="74" state="hidden" r:id="rId24"/>
    <sheet name="Sheet30" sheetId="75" state="hidden" r:id="rId25"/>
    <sheet name="DISPUTES" sheetId="70" state="hidden" r:id="rId26"/>
    <sheet name="CREDIT BALANCE" sheetId="71" state="hidden" r:id="rId27"/>
    <sheet name="Sheet25" sheetId="61" state="hidden" r:id="rId28"/>
    <sheet name="Sheet19" sheetId="55" state="hidden" r:id="rId29"/>
    <sheet name="Sheet24" sheetId="59" state="hidden" r:id="rId30"/>
    <sheet name="Sheet23" sheetId="58" state="hidden" r:id="rId31"/>
    <sheet name="Sheet9" sheetId="35" state="hidden" r:id="rId32"/>
    <sheet name="Sheet8" sheetId="34" state="hidden" r:id="rId33"/>
    <sheet name="Sheet11" sheetId="37" state="hidden" r:id="rId34"/>
    <sheet name="Sheet10" sheetId="36" state="hidden" r:id="rId35"/>
    <sheet name="Sheet12" sheetId="38" state="hidden" r:id="rId36"/>
    <sheet name="Sheet13" sheetId="39" state="hidden" r:id="rId37"/>
    <sheet name="Sheet14" sheetId="40" state="hidden" r:id="rId38"/>
    <sheet name="Sheet15" sheetId="41" state="hidden" r:id="rId39"/>
    <sheet name="Sheet17" sheetId="43" state="hidden" r:id="rId40"/>
    <sheet name="Sheet18" sheetId="44" state="hidden" r:id="rId41"/>
    <sheet name="Sheet16" sheetId="42" state="hidden" r:id="rId42"/>
    <sheet name="Sheet21" sheetId="47" state="hidden" r:id="rId43"/>
    <sheet name="Sheet6" sheetId="31" state="hidden" r:id="rId44"/>
    <sheet name="Sheet7" sheetId="32" state="hidden" r:id="rId45"/>
  </sheets>
  <definedNames>
    <definedName name="_xlnm._FilterDatabase" localSheetId="8" hidden="1">'2016-2017'!$A$1:$A$123</definedName>
    <definedName name="_xlnm._FilterDatabase" localSheetId="9" hidden="1">'2017-2018'!$A$1:$BA$4</definedName>
    <definedName name="_xlnm._FilterDatabase" localSheetId="11" hidden="1">'2019-2020'!$A$1:$AN$118</definedName>
    <definedName name="_xlnm._FilterDatabase" localSheetId="38" hidden="1">Sheet15!$A$1:$M$49</definedName>
    <definedName name="_xlnm._FilterDatabase" localSheetId="42" hidden="1">Sheet21!$A$1:$P$65</definedName>
    <definedName name="_xlnm._FilterDatabase" localSheetId="30" hidden="1">Sheet23!$A$1:$M$61</definedName>
    <definedName name="_xlnm._FilterDatabase" localSheetId="13" hidden="1">Sheet4!$A$4:$G$43</definedName>
    <definedName name="_xlnm._FilterDatabase" localSheetId="32" hidden="1">Sheet8!$A$5:$G$72</definedName>
    <definedName name="_xlnm._FilterDatabase" localSheetId="31" hidden="1">Sheet9!$A$1:$T$75</definedName>
    <definedName name="_xlnm.Print_Area" localSheetId="6">'2014-2015'!$A$1:$AC$107</definedName>
    <definedName name="_xlnm.Print_Area" localSheetId="7">'2015-2016'!$A$1:$AH$114</definedName>
    <definedName name="_xlnm.Print_Area" localSheetId="8">'2016-2017'!$A$1:$AI$117</definedName>
    <definedName name="_xlnm.Print_Area" localSheetId="1">'Inactive Debtors'!$A$1:$B$89</definedName>
    <definedName name="_xlnm.Print_Area" localSheetId="2">Sheet3!$A$1:$AG$97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9" i="78" l="1"/>
  <c r="H51" i="78"/>
  <c r="H53" i="78"/>
  <c r="H54" i="78"/>
  <c r="H55" i="78"/>
  <c r="H56" i="78"/>
  <c r="H57" i="78"/>
  <c r="H58" i="78"/>
  <c r="H59" i="78"/>
  <c r="H60" i="78"/>
  <c r="H61" i="78"/>
  <c r="H62" i="78"/>
  <c r="H63" i="78"/>
  <c r="H64" i="78"/>
  <c r="H65" i="78"/>
  <c r="H66" i="78"/>
  <c r="H68" i="78"/>
  <c r="H69" i="78"/>
  <c r="H70" i="78"/>
  <c r="H71" i="78"/>
  <c r="H72" i="78"/>
  <c r="H73" i="78"/>
  <c r="H74" i="78"/>
  <c r="H75" i="78"/>
  <c r="H76" i="78"/>
  <c r="H77" i="78"/>
  <c r="H78" i="78"/>
  <c r="H79" i="78"/>
  <c r="H80" i="78"/>
  <c r="H81" i="78"/>
  <c r="H82" i="78"/>
  <c r="H83" i="78"/>
  <c r="H84" i="78"/>
  <c r="H85" i="78"/>
  <c r="H86" i="78"/>
  <c r="H87" i="78"/>
  <c r="G87" i="78"/>
  <c r="G86" i="78"/>
  <c r="G85" i="78"/>
  <c r="G84" i="78"/>
  <c r="G83" i="78"/>
  <c r="G82" i="78"/>
  <c r="G81" i="78"/>
  <c r="G80" i="78"/>
  <c r="G79" i="78"/>
  <c r="G78" i="78"/>
  <c r="G77" i="78"/>
  <c r="G76" i="78"/>
  <c r="G75" i="78"/>
  <c r="G74" i="78"/>
  <c r="G73" i="78"/>
  <c r="G72" i="78"/>
  <c r="G71" i="78"/>
  <c r="G70" i="78"/>
  <c r="G69" i="78"/>
  <c r="G68" i="78"/>
  <c r="G67" i="78"/>
  <c r="G66" i="78"/>
  <c r="G65" i="78"/>
  <c r="G64" i="78"/>
  <c r="G63" i="78"/>
  <c r="G62" i="78"/>
  <c r="G61" i="78"/>
  <c r="G60" i="78"/>
  <c r="G59" i="78"/>
  <c r="G58" i="78"/>
  <c r="G57" i="78"/>
  <c r="G56" i="78"/>
  <c r="G55" i="78"/>
  <c r="G54" i="78"/>
  <c r="G53" i="78"/>
  <c r="G51" i="78"/>
  <c r="G50" i="78"/>
  <c r="G49" i="78"/>
  <c r="G48" i="78"/>
  <c r="G47" i="78"/>
  <c r="G46" i="78"/>
  <c r="G45" i="78"/>
  <c r="G44" i="78"/>
  <c r="G43" i="78"/>
  <c r="G42" i="78"/>
  <c r="G41" i="78"/>
  <c r="G40" i="78"/>
  <c r="G39" i="78"/>
  <c r="G38" i="78"/>
  <c r="G37" i="78"/>
  <c r="G36" i="78"/>
  <c r="G35" i="78"/>
  <c r="G34" i="78"/>
  <c r="G33" i="78"/>
  <c r="G32" i="78"/>
  <c r="G31" i="78"/>
  <c r="G30" i="78"/>
  <c r="G29" i="78"/>
  <c r="G28" i="78"/>
  <c r="G27" i="78"/>
  <c r="G26" i="78"/>
  <c r="G25" i="78"/>
  <c r="G24" i="78"/>
  <c r="G23" i="78"/>
  <c r="G22" i="78"/>
  <c r="G21" i="78"/>
  <c r="G20" i="78"/>
  <c r="G19" i="78"/>
  <c r="G18" i="78"/>
  <c r="G17" i="78"/>
  <c r="G16" i="78"/>
  <c r="G15" i="78"/>
  <c r="G14" i="78"/>
  <c r="G13" i="78"/>
  <c r="G12" i="78"/>
  <c r="G11" i="78"/>
  <c r="G10" i="78"/>
  <c r="G9" i="78"/>
  <c r="G8" i="78"/>
  <c r="F52" i="78" l="1"/>
  <c r="E7" i="78"/>
  <c r="G7" i="78" s="1"/>
  <c r="D87" i="78"/>
  <c r="D86" i="78"/>
  <c r="D85" i="78"/>
  <c r="D84" i="78"/>
  <c r="D83" i="78"/>
  <c r="D82" i="78"/>
  <c r="D81" i="78"/>
  <c r="D80" i="78"/>
  <c r="D79" i="78"/>
  <c r="D78" i="78"/>
  <c r="D77" i="78"/>
  <c r="D76" i="78"/>
  <c r="D75" i="78"/>
  <c r="D74" i="78"/>
  <c r="D73" i="78"/>
  <c r="D72" i="78"/>
  <c r="D71" i="78"/>
  <c r="D70" i="78"/>
  <c r="D69" i="78"/>
  <c r="D68" i="78"/>
  <c r="D66" i="78"/>
  <c r="D65" i="78"/>
  <c r="D64" i="78"/>
  <c r="D63" i="78"/>
  <c r="D62" i="78"/>
  <c r="D61" i="78"/>
  <c r="D60" i="78"/>
  <c r="D59" i="78"/>
  <c r="D58" i="78"/>
  <c r="D57" i="78"/>
  <c r="D56" i="78"/>
  <c r="D55" i="78"/>
  <c r="D54" i="78"/>
  <c r="D53" i="78"/>
  <c r="D52" i="78"/>
  <c r="D51" i="78"/>
  <c r="D49" i="78"/>
  <c r="C50" i="78"/>
  <c r="C48" i="78"/>
  <c r="C47" i="78"/>
  <c r="C46" i="78"/>
  <c r="C45" i="78"/>
  <c r="C44" i="78"/>
  <c r="C40" i="78"/>
  <c r="C34" i="78"/>
  <c r="C30" i="78"/>
  <c r="C28" i="78"/>
  <c r="C26" i="78"/>
  <c r="C23" i="78"/>
  <c r="C22" i="78"/>
  <c r="C21" i="78"/>
  <c r="C18" i="78"/>
  <c r="C16" i="78"/>
  <c r="C14" i="78"/>
  <c r="C13" i="78"/>
  <c r="C11" i="78"/>
  <c r="C10" i="78"/>
  <c r="C9" i="78"/>
  <c r="C8" i="78"/>
  <c r="B67" i="78"/>
  <c r="B50" i="78"/>
  <c r="B48" i="78"/>
  <c r="B47" i="78"/>
  <c r="B46" i="78"/>
  <c r="B45" i="78"/>
  <c r="B44" i="78"/>
  <c r="B43" i="78"/>
  <c r="H43" i="78" s="1"/>
  <c r="B42" i="78"/>
  <c r="H42" i="78" s="1"/>
  <c r="B41" i="78"/>
  <c r="B40" i="78"/>
  <c r="B39" i="78"/>
  <c r="B38" i="78"/>
  <c r="B37" i="78"/>
  <c r="B36" i="78"/>
  <c r="B35" i="78"/>
  <c r="H35" i="78" s="1"/>
  <c r="B34" i="78"/>
  <c r="B33" i="78"/>
  <c r="B32" i="78"/>
  <c r="B31" i="78"/>
  <c r="B30" i="78"/>
  <c r="B29" i="78"/>
  <c r="B28" i="78"/>
  <c r="B27" i="78"/>
  <c r="H27" i="78" s="1"/>
  <c r="B26" i="78"/>
  <c r="H26" i="78" s="1"/>
  <c r="B25" i="78"/>
  <c r="B24" i="78"/>
  <c r="B23" i="78"/>
  <c r="B22" i="78"/>
  <c r="B21" i="78"/>
  <c r="B20" i="78"/>
  <c r="B19" i="78"/>
  <c r="H19" i="78" s="1"/>
  <c r="B18" i="78"/>
  <c r="B17" i="78"/>
  <c r="B16" i="78"/>
  <c r="B15" i="78"/>
  <c r="B14" i="78"/>
  <c r="B13" i="78"/>
  <c r="B12" i="78"/>
  <c r="B11" i="78"/>
  <c r="B10" i="78"/>
  <c r="B9" i="78"/>
  <c r="B8" i="78"/>
  <c r="B7" i="78"/>
  <c r="H34" i="78" l="1"/>
  <c r="H11" i="78"/>
  <c r="D42" i="78"/>
  <c r="H10" i="78"/>
  <c r="D18" i="78"/>
  <c r="D43" i="78"/>
  <c r="D46" i="78"/>
  <c r="H46" i="78"/>
  <c r="D47" i="78"/>
  <c r="H47" i="78"/>
  <c r="D24" i="78"/>
  <c r="H24" i="78"/>
  <c r="D13" i="78"/>
  <c r="H13" i="78"/>
  <c r="D12" i="78"/>
  <c r="H12" i="78"/>
  <c r="D48" i="78"/>
  <c r="H48" i="78"/>
  <c r="D14" i="78"/>
  <c r="H14" i="78"/>
  <c r="D67" i="78"/>
  <c r="H67" i="78"/>
  <c r="D10" i="78"/>
  <c r="D15" i="78"/>
  <c r="H15" i="78"/>
  <c r="D11" i="78"/>
  <c r="D22" i="78"/>
  <c r="H22" i="78"/>
  <c r="D50" i="78"/>
  <c r="H50" i="78"/>
  <c r="D25" i="78"/>
  <c r="H25" i="78"/>
  <c r="D38" i="78"/>
  <c r="H38" i="78"/>
  <c r="D41" i="78"/>
  <c r="H41" i="78"/>
  <c r="D19" i="78"/>
  <c r="D23" i="78"/>
  <c r="H23" i="78"/>
  <c r="D36" i="78"/>
  <c r="H36" i="78"/>
  <c r="D40" i="78"/>
  <c r="H40" i="78"/>
  <c r="H18" i="78"/>
  <c r="D30" i="78"/>
  <c r="H30" i="78"/>
  <c r="D26" i="78"/>
  <c r="D39" i="78"/>
  <c r="H39" i="78"/>
  <c r="D16" i="78"/>
  <c r="H16" i="78"/>
  <c r="D17" i="78"/>
  <c r="H17" i="78"/>
  <c r="D7" i="78"/>
  <c r="H7" i="78"/>
  <c r="D31" i="78"/>
  <c r="H31" i="78"/>
  <c r="D27" i="78"/>
  <c r="D20" i="78"/>
  <c r="H20" i="78"/>
  <c r="D44" i="78"/>
  <c r="H44" i="78"/>
  <c r="D34" i="78"/>
  <c r="D37" i="78"/>
  <c r="H37" i="78"/>
  <c r="D28" i="78"/>
  <c r="H28" i="78"/>
  <c r="D29" i="78"/>
  <c r="H29" i="78"/>
  <c r="D8" i="78"/>
  <c r="H8" i="78"/>
  <c r="D32" i="78"/>
  <c r="H32" i="78"/>
  <c r="D9" i="78"/>
  <c r="H9" i="78"/>
  <c r="D21" i="78"/>
  <c r="H21" i="78"/>
  <c r="D33" i="78"/>
  <c r="H33" i="78"/>
  <c r="D45" i="78"/>
  <c r="H45" i="78"/>
  <c r="D35" i="78"/>
  <c r="G52" i="78"/>
  <c r="H52" i="78"/>
  <c r="D352" i="75"/>
  <c r="D348" i="75"/>
  <c r="D222" i="75"/>
  <c r="D326" i="75"/>
  <c r="D317" i="75"/>
  <c r="D312" i="75"/>
  <c r="D306" i="75"/>
  <c r="D303" i="75"/>
  <c r="D300" i="75"/>
  <c r="D297" i="75"/>
  <c r="D289" i="75"/>
  <c r="D286" i="75"/>
  <c r="D280" i="75"/>
  <c r="D273" i="75"/>
  <c r="D263" i="75"/>
  <c r="D258" i="75"/>
  <c r="D254" i="75"/>
  <c r="D247" i="75"/>
  <c r="D240" i="75"/>
  <c r="D233" i="75"/>
  <c r="D227" i="75"/>
  <c r="D215" i="75"/>
  <c r="D208" i="75"/>
  <c r="D202" i="75"/>
  <c r="D196" i="75"/>
  <c r="D189" i="75"/>
  <c r="D182" i="75"/>
  <c r="D177" i="75"/>
  <c r="D169" i="75"/>
  <c r="D165" i="75"/>
  <c r="D159" i="75"/>
  <c r="D154" i="75"/>
  <c r="D147" i="75"/>
  <c r="D142" i="75"/>
  <c r="D136" i="75"/>
  <c r="D128" i="75"/>
  <c r="D118" i="75"/>
  <c r="D110" i="75"/>
  <c r="D103" i="75"/>
  <c r="D95" i="75"/>
  <c r="D89" i="75"/>
  <c r="D83" i="75"/>
  <c r="D76" i="75"/>
  <c r="D68" i="75"/>
  <c r="D59" i="75"/>
  <c r="D50" i="75"/>
  <c r="D43" i="75"/>
  <c r="D33" i="75"/>
  <c r="D25" i="75"/>
  <c r="D17" i="75"/>
  <c r="D9" i="75"/>
  <c r="D3" i="75"/>
  <c r="D332" i="75"/>
  <c r="D337" i="75"/>
  <c r="D340" i="75"/>
  <c r="D347" i="75"/>
  <c r="D345" i="74" l="1"/>
  <c r="D346" i="74" s="1"/>
  <c r="D338" i="74"/>
  <c r="D335" i="74"/>
  <c r="D331" i="74"/>
  <c r="D325" i="74"/>
  <c r="D317" i="74"/>
  <c r="D312" i="74"/>
  <c r="D305" i="74"/>
  <c r="D302" i="74"/>
  <c r="D299" i="74"/>
  <c r="D291" i="74"/>
  <c r="D287" i="74"/>
  <c r="D279" i="74"/>
  <c r="D275" i="74"/>
  <c r="D268" i="74"/>
  <c r="D258" i="74"/>
  <c r="D253" i="74"/>
  <c r="D249" i="74"/>
  <c r="D243" i="74"/>
  <c r="D236" i="74"/>
  <c r="D229" i="74"/>
  <c r="D225" i="74"/>
  <c r="D220" i="74"/>
  <c r="D213" i="74"/>
  <c r="D206" i="74"/>
  <c r="D200" i="74"/>
  <c r="D192" i="74"/>
  <c r="D185" i="74"/>
  <c r="D179" i="74"/>
  <c r="D174" i="74"/>
  <c r="D166" i="74"/>
  <c r="D162" i="74"/>
  <c r="D156" i="74"/>
  <c r="D151" i="74"/>
  <c r="D143" i="74"/>
  <c r="D138" i="74"/>
  <c r="D134" i="74"/>
  <c r="D128" i="74"/>
  <c r="D120" i="74"/>
  <c r="D110" i="74"/>
  <c r="D102" i="74"/>
  <c r="D96" i="74"/>
  <c r="D88" i="74"/>
  <c r="D83" i="74"/>
  <c r="D78" i="74"/>
  <c r="D70" i="74"/>
  <c r="D63" i="74"/>
  <c r="D53" i="74"/>
  <c r="D43" i="74"/>
  <c r="D36" i="74"/>
  <c r="D26" i="74"/>
  <c r="D19" i="74"/>
  <c r="D13" i="74"/>
  <c r="D6" i="74"/>
  <c r="D3" i="74"/>
  <c r="I6" i="70" l="1"/>
  <c r="I7" i="70"/>
  <c r="I8" i="70"/>
  <c r="I9" i="70"/>
  <c r="I10" i="70"/>
  <c r="I11" i="70"/>
  <c r="I12" i="70"/>
  <c r="I13" i="70"/>
  <c r="I14" i="70"/>
  <c r="I15" i="70"/>
  <c r="I16" i="70"/>
  <c r="I17" i="70"/>
  <c r="I18" i="70"/>
  <c r="I19" i="70"/>
  <c r="I20" i="70"/>
  <c r="I21" i="70"/>
  <c r="I22" i="70"/>
  <c r="I23" i="70"/>
  <c r="I24" i="70"/>
  <c r="I25" i="70"/>
  <c r="I26" i="70"/>
  <c r="I27" i="70"/>
  <c r="I28" i="70"/>
  <c r="I29" i="70"/>
  <c r="I30" i="70"/>
  <c r="I31" i="70"/>
  <c r="I32" i="70"/>
  <c r="I33" i="70"/>
  <c r="I34" i="70"/>
  <c r="I35" i="70"/>
  <c r="I36" i="70"/>
  <c r="I37" i="70"/>
  <c r="I38" i="70"/>
  <c r="I39" i="70"/>
  <c r="I40" i="70"/>
  <c r="I41" i="70"/>
  <c r="I42" i="70"/>
  <c r="I43" i="70"/>
  <c r="I44" i="70"/>
  <c r="I5" i="70"/>
  <c r="H29" i="71"/>
  <c r="G29" i="71"/>
  <c r="F29" i="71"/>
  <c r="E29" i="71"/>
  <c r="D29" i="71"/>
  <c r="C29" i="71"/>
  <c r="B29" i="71"/>
  <c r="H45" i="70"/>
  <c r="G45" i="70"/>
  <c r="F45" i="70"/>
  <c r="E45" i="70"/>
  <c r="D45" i="70"/>
  <c r="C45" i="70"/>
  <c r="B45" i="70"/>
  <c r="I45" i="70" l="1"/>
  <c r="I29" i="71"/>
  <c r="D83" i="65" l="1"/>
  <c r="D84" i="65"/>
  <c r="D85" i="65"/>
  <c r="D86" i="65"/>
  <c r="D87" i="65"/>
  <c r="D88" i="65"/>
  <c r="D89" i="65"/>
  <c r="D90" i="65"/>
  <c r="D91" i="65"/>
  <c r="D92" i="65"/>
  <c r="D93" i="65"/>
  <c r="D94" i="65"/>
  <c r="D95" i="65"/>
  <c r="D96" i="65"/>
  <c r="D97" i="65"/>
  <c r="D75" i="65"/>
  <c r="D76" i="65"/>
  <c r="D77" i="65"/>
  <c r="D78" i="65"/>
  <c r="D79" i="65"/>
  <c r="D80" i="65"/>
  <c r="D81" i="65"/>
  <c r="D82" i="65"/>
  <c r="C2" i="65"/>
  <c r="C3" i="65"/>
  <c r="C4" i="65"/>
  <c r="C5" i="65"/>
  <c r="C6" i="65"/>
  <c r="C7" i="65"/>
  <c r="C8" i="65"/>
  <c r="C9" i="65"/>
  <c r="C10" i="65"/>
  <c r="C11" i="65"/>
  <c r="C12" i="65"/>
  <c r="C13" i="65"/>
  <c r="C14" i="65"/>
  <c r="C15" i="65"/>
  <c r="C16" i="65"/>
  <c r="C17" i="65"/>
  <c r="C18" i="65"/>
  <c r="C19" i="65"/>
  <c r="C20" i="65"/>
  <c r="C21" i="65"/>
  <c r="C22" i="65"/>
  <c r="C23" i="65"/>
  <c r="C24" i="65"/>
  <c r="C25" i="65"/>
  <c r="C26" i="65"/>
  <c r="C27" i="65"/>
  <c r="C28" i="65"/>
  <c r="C29" i="65"/>
  <c r="C30" i="65"/>
  <c r="C31" i="65"/>
  <c r="C32" i="65"/>
  <c r="C33" i="65"/>
  <c r="C34" i="65"/>
  <c r="C35" i="65"/>
  <c r="C36" i="65"/>
  <c r="C37" i="65"/>
  <c r="C38" i="65"/>
  <c r="C39" i="65"/>
  <c r="C40" i="65"/>
  <c r="C41" i="65"/>
  <c r="C42" i="65"/>
  <c r="C43" i="65"/>
  <c r="C44" i="65"/>
  <c r="C45" i="65"/>
  <c r="C46" i="65"/>
  <c r="C47" i="65"/>
  <c r="C48" i="65"/>
  <c r="C49" i="65"/>
  <c r="C50" i="65"/>
  <c r="C51" i="65"/>
  <c r="C52" i="65"/>
  <c r="C53" i="65"/>
  <c r="C54" i="65"/>
  <c r="C55" i="65"/>
  <c r="C56" i="65"/>
  <c r="C57" i="65"/>
  <c r="C58" i="65"/>
  <c r="C59" i="65"/>
  <c r="C60" i="65"/>
  <c r="C61" i="65"/>
  <c r="C62" i="65"/>
  <c r="C63" i="65"/>
  <c r="C64" i="65"/>
  <c r="C65" i="65"/>
  <c r="C66" i="65"/>
  <c r="C67" i="65"/>
  <c r="C68" i="65"/>
  <c r="C69" i="65"/>
  <c r="C70" i="65"/>
  <c r="C71" i="65"/>
  <c r="C72" i="65"/>
  <c r="C73" i="65"/>
  <c r="C74" i="65"/>
  <c r="C75" i="65"/>
  <c r="C76" i="65"/>
  <c r="C77" i="65"/>
  <c r="C78" i="65"/>
  <c r="C79" i="65"/>
  <c r="C80" i="65"/>
  <c r="C81" i="65"/>
  <c r="C82" i="65"/>
  <c r="C83" i="65"/>
  <c r="C84" i="65"/>
  <c r="C85" i="65"/>
  <c r="C86" i="65"/>
  <c r="C87" i="65"/>
  <c r="C88" i="65"/>
  <c r="C89" i="65"/>
  <c r="C90" i="65"/>
  <c r="C91" i="65"/>
  <c r="C92" i="65"/>
  <c r="C93" i="65"/>
  <c r="C94" i="65"/>
  <c r="C95" i="65"/>
  <c r="C96" i="65"/>
  <c r="C97" i="65"/>
  <c r="C1" i="65"/>
  <c r="D342" i="64"/>
  <c r="D339" i="64" l="1"/>
  <c r="D3" i="64"/>
  <c r="D6" i="64"/>
  <c r="D13" i="64"/>
  <c r="D20" i="64"/>
  <c r="D27" i="64"/>
  <c r="D37" i="64"/>
  <c r="D44" i="64"/>
  <c r="D52" i="64"/>
  <c r="D62" i="64"/>
  <c r="D69" i="64"/>
  <c r="D77" i="64"/>
  <c r="D82" i="64"/>
  <c r="D88" i="64"/>
  <c r="D97" i="64"/>
  <c r="D103" i="64"/>
  <c r="D111" i="64"/>
  <c r="D121" i="64"/>
  <c r="D129" i="64"/>
  <c r="D133" i="64"/>
  <c r="D136" i="64"/>
  <c r="D141" i="64"/>
  <c r="D148" i="64"/>
  <c r="D153" i="64"/>
  <c r="D159" i="64"/>
  <c r="D163" i="64"/>
  <c r="D171" i="64"/>
  <c r="D176" i="64"/>
  <c r="D182" i="64"/>
  <c r="D189" i="64"/>
  <c r="D197" i="64"/>
  <c r="D203" i="64"/>
  <c r="D211" i="64"/>
  <c r="D218" i="64"/>
  <c r="D224" i="64"/>
  <c r="D228" i="64"/>
  <c r="D235" i="64"/>
  <c r="D242" i="64"/>
  <c r="D249" i="64"/>
  <c r="D253" i="64"/>
  <c r="D259" i="64"/>
  <c r="D268" i="64"/>
  <c r="D275" i="64"/>
  <c r="D279" i="64"/>
  <c r="D284" i="64"/>
  <c r="D287" i="64"/>
  <c r="D295" i="64"/>
  <c r="D298" i="64"/>
  <c r="D301" i="64"/>
  <c r="D309" i="64"/>
  <c r="D314" i="64"/>
  <c r="D322" i="64"/>
  <c r="D328" i="64"/>
  <c r="D332" i="64"/>
  <c r="D338" i="64"/>
  <c r="D331" i="62" l="1"/>
  <c r="D330" i="62"/>
  <c r="D323" i="62"/>
  <c r="D320" i="62"/>
  <c r="D316" i="62"/>
  <c r="D309" i="62"/>
  <c r="D301" i="62"/>
  <c r="D297" i="62"/>
  <c r="D290" i="62"/>
  <c r="D287" i="62"/>
  <c r="D284" i="62"/>
  <c r="D275" i="62"/>
  <c r="D272" i="62"/>
  <c r="D265" i="62"/>
  <c r="D258" i="62"/>
  <c r="D249" i="62"/>
  <c r="D244" i="62"/>
  <c r="D240" i="62"/>
  <c r="D233" i="62"/>
  <c r="D226" i="62"/>
  <c r="D220" i="62"/>
  <c r="D216" i="62"/>
  <c r="D211" i="62"/>
  <c r="D206" i="62"/>
  <c r="D199" i="62"/>
  <c r="D193" i="62"/>
  <c r="D186" i="62"/>
  <c r="D180" i="62"/>
  <c r="D175" i="62"/>
  <c r="D169" i="62"/>
  <c r="D162" i="62"/>
  <c r="D158" i="62"/>
  <c r="D152" i="62"/>
  <c r="D147" i="62"/>
  <c r="D140" i="62"/>
  <c r="D137" i="62"/>
  <c r="D131" i="62"/>
  <c r="D126" i="62"/>
  <c r="D118" i="62"/>
  <c r="D107" i="62"/>
  <c r="D99" i="62"/>
  <c r="D92" i="62"/>
  <c r="D84" i="62"/>
  <c r="D79" i="62"/>
  <c r="D74" i="62"/>
  <c r="D66" i="62"/>
  <c r="D59" i="62"/>
  <c r="D51" i="62"/>
  <c r="D42" i="62"/>
  <c r="D36" i="62"/>
  <c r="D26" i="62"/>
  <c r="D19" i="62"/>
  <c r="D13" i="62"/>
  <c r="D6" i="62"/>
  <c r="D3" i="62"/>
  <c r="H102" i="61"/>
  <c r="G102" i="61"/>
  <c r="F102" i="61"/>
  <c r="E102" i="61"/>
  <c r="D102" i="61"/>
  <c r="C102" i="61"/>
  <c r="B102" i="61"/>
  <c r="I102" i="61" s="1"/>
  <c r="I101" i="61"/>
  <c r="I100" i="61"/>
  <c r="I99" i="61"/>
  <c r="I98" i="61"/>
  <c r="I97" i="61"/>
  <c r="I96" i="61"/>
  <c r="I95" i="61"/>
  <c r="I94" i="61"/>
  <c r="I93" i="61"/>
  <c r="I92" i="61"/>
  <c r="I91" i="61"/>
  <c r="I90" i="61"/>
  <c r="I89" i="61"/>
  <c r="I88" i="61"/>
  <c r="I87" i="61"/>
  <c r="I86" i="61"/>
  <c r="I85" i="61"/>
  <c r="I84" i="61"/>
  <c r="I83" i="61"/>
  <c r="I82" i="61"/>
  <c r="I81" i="61"/>
  <c r="I80" i="61"/>
  <c r="I79" i="61"/>
  <c r="I78" i="61"/>
  <c r="I77" i="61"/>
  <c r="I76" i="61"/>
  <c r="I75" i="61"/>
  <c r="I74" i="61"/>
  <c r="I73" i="61"/>
  <c r="I72" i="61"/>
  <c r="I71" i="61"/>
  <c r="I70" i="61"/>
  <c r="I69" i="61"/>
  <c r="I68" i="61"/>
  <c r="I67" i="61"/>
  <c r="I66" i="61"/>
  <c r="I65" i="61"/>
  <c r="I64" i="61"/>
  <c r="I63" i="61"/>
  <c r="I62" i="61"/>
  <c r="I61" i="61"/>
  <c r="I60" i="61"/>
  <c r="I59" i="61"/>
  <c r="I58" i="61"/>
  <c r="I57" i="61"/>
  <c r="I56" i="61"/>
  <c r="I55" i="61"/>
  <c r="I54" i="61"/>
  <c r="I53" i="61"/>
  <c r="I52" i="61"/>
  <c r="I51" i="61"/>
  <c r="I50" i="61"/>
  <c r="I49" i="61"/>
  <c r="I48" i="61"/>
  <c r="I47" i="61"/>
  <c r="I46" i="61"/>
  <c r="I45" i="61"/>
  <c r="I44" i="61"/>
  <c r="I43" i="61"/>
  <c r="I42" i="61"/>
  <c r="I41" i="61"/>
  <c r="I40" i="61"/>
  <c r="I39" i="61"/>
  <c r="I38" i="61"/>
  <c r="I37" i="61"/>
  <c r="I36" i="61"/>
  <c r="I35" i="61"/>
  <c r="I34" i="61"/>
  <c r="I33" i="61"/>
  <c r="I32" i="61"/>
  <c r="I31" i="61"/>
  <c r="I30" i="61"/>
  <c r="I29" i="61"/>
  <c r="I28" i="61"/>
  <c r="I27" i="61"/>
  <c r="I26" i="61"/>
  <c r="I24" i="61"/>
  <c r="I23" i="61"/>
  <c r="I22" i="61"/>
  <c r="I21" i="61"/>
  <c r="I20" i="61"/>
  <c r="I19" i="61"/>
  <c r="I18" i="61"/>
  <c r="I17" i="61"/>
  <c r="I16" i="61"/>
  <c r="I15" i="61"/>
  <c r="I14" i="61"/>
  <c r="I13" i="61"/>
  <c r="I12" i="61"/>
  <c r="I11" i="61"/>
  <c r="I10" i="61"/>
  <c r="I9" i="61"/>
  <c r="I8" i="61"/>
  <c r="I7" i="61"/>
  <c r="I6" i="61"/>
  <c r="I5" i="61"/>
  <c r="D328" i="59" l="1"/>
  <c r="D188" i="59"/>
  <c r="D181" i="59"/>
  <c r="D175" i="59"/>
  <c r="D170" i="59"/>
  <c r="D165" i="59"/>
  <c r="D158" i="59"/>
  <c r="D154" i="59"/>
  <c r="D148" i="59"/>
  <c r="D144" i="59"/>
  <c r="D137" i="59"/>
  <c r="D134" i="59"/>
  <c r="D130" i="59"/>
  <c r="D122" i="59"/>
  <c r="D113" i="59"/>
  <c r="D105" i="59"/>
  <c r="D98" i="59"/>
  <c r="D90" i="59"/>
  <c r="D84" i="59"/>
  <c r="D79" i="59"/>
  <c r="D70" i="59"/>
  <c r="D63" i="59"/>
  <c r="D53" i="59"/>
  <c r="D45" i="59"/>
  <c r="D38" i="59"/>
  <c r="D29" i="59"/>
  <c r="D22" i="59"/>
  <c r="D15" i="59"/>
  <c r="D6" i="59"/>
  <c r="D3" i="59"/>
  <c r="D194" i="59"/>
  <c r="D201" i="59"/>
  <c r="D208" i="59"/>
  <c r="D213" i="59"/>
  <c r="D216" i="59"/>
  <c r="D223" i="59"/>
  <c r="D230" i="59"/>
  <c r="D236" i="59"/>
  <c r="D240" i="59"/>
  <c r="D245" i="59"/>
  <c r="D255" i="59"/>
  <c r="D262" i="59"/>
  <c r="D269" i="59"/>
  <c r="D272" i="59"/>
  <c r="D281" i="59"/>
  <c r="D284" i="59"/>
  <c r="D287" i="59"/>
  <c r="D294" i="59"/>
  <c r="D299" i="59"/>
  <c r="D307" i="59"/>
  <c r="D314" i="59"/>
  <c r="D318" i="59"/>
  <c r="D321" i="59"/>
  <c r="D327" i="59"/>
  <c r="H62" i="58"/>
  <c r="D324" i="55" l="1"/>
  <c r="D317" i="55"/>
  <c r="D313" i="55"/>
  <c r="D306" i="55"/>
  <c r="D299" i="55"/>
  <c r="D294" i="55"/>
  <c r="D288" i="55"/>
  <c r="D285" i="55"/>
  <c r="D282" i="55"/>
  <c r="D274" i="55"/>
  <c r="D271" i="55"/>
  <c r="D265" i="55"/>
  <c r="D258" i="55"/>
  <c r="D250" i="55"/>
  <c r="D245" i="55"/>
  <c r="D240" i="55"/>
  <c r="D233" i="55"/>
  <c r="D226" i="55"/>
  <c r="D219" i="55"/>
  <c r="D213" i="55"/>
  <c r="D208" i="55"/>
  <c r="D201" i="55"/>
  <c r="D194" i="55"/>
  <c r="D188" i="55"/>
  <c r="D182" i="55"/>
  <c r="D176" i="55"/>
  <c r="D171" i="55"/>
  <c r="D166" i="55"/>
  <c r="D159" i="55"/>
  <c r="D155" i="55"/>
  <c r="D149" i="55"/>
  <c r="D145" i="55"/>
  <c r="D138" i="55"/>
  <c r="D134" i="55"/>
  <c r="D130" i="55"/>
  <c r="D124" i="55"/>
  <c r="D117" i="55"/>
  <c r="D108" i="55"/>
  <c r="D100" i="55"/>
  <c r="D94" i="55"/>
  <c r="D86" i="55"/>
  <c r="D81" i="55"/>
  <c r="D76" i="55"/>
  <c r="D68" i="55"/>
  <c r="D61" i="55"/>
  <c r="D51" i="55"/>
  <c r="D40" i="55"/>
  <c r="D33" i="55"/>
  <c r="D24" i="55"/>
  <c r="D17" i="55"/>
  <c r="D10" i="55"/>
  <c r="D3" i="55"/>
  <c r="AG11" i="30"/>
  <c r="AG14" i="30"/>
  <c r="AG15" i="30"/>
  <c r="AG16" i="30"/>
  <c r="AG17" i="30"/>
  <c r="AG18" i="30"/>
  <c r="AG19" i="30"/>
  <c r="AG25" i="30"/>
  <c r="AG26" i="30"/>
  <c r="AG27" i="30"/>
  <c r="AG29" i="30"/>
  <c r="AG30" i="30"/>
  <c r="AG37" i="30"/>
  <c r="AG39" i="30"/>
  <c r="AG42" i="30"/>
  <c r="AG43" i="30"/>
  <c r="AG45" i="30"/>
  <c r="AG49" i="30"/>
  <c r="AG50" i="30"/>
  <c r="AG52" i="30"/>
  <c r="AG54" i="30"/>
  <c r="AG55" i="30"/>
  <c r="AG59" i="30"/>
  <c r="AG61" i="30"/>
  <c r="AG62" i="30"/>
  <c r="AG64" i="30"/>
  <c r="AG66" i="30"/>
  <c r="AG68" i="30"/>
  <c r="AG69" i="30"/>
  <c r="AG70" i="30"/>
  <c r="AG72" i="30"/>
  <c r="AG74" i="30"/>
  <c r="AG75" i="30"/>
  <c r="AG78" i="30"/>
  <c r="AG79" i="30"/>
  <c r="AG80" i="30"/>
  <c r="AG81" i="30"/>
  <c r="AG82" i="30"/>
  <c r="AG83" i="30"/>
  <c r="AG84" i="30"/>
  <c r="AG85" i="30"/>
  <c r="AG86" i="30"/>
  <c r="AG88" i="30"/>
  <c r="AG91" i="30"/>
  <c r="AG92" i="30"/>
  <c r="AG93" i="30"/>
  <c r="AG95" i="30"/>
  <c r="AG97" i="30"/>
  <c r="AG98" i="30"/>
  <c r="AG99" i="30"/>
  <c r="AG100" i="30"/>
  <c r="AG104" i="30"/>
  <c r="AG105" i="30"/>
  <c r="AG107" i="30"/>
  <c r="AG108" i="30"/>
  <c r="AG111" i="30"/>
  <c r="AB11" i="30"/>
  <c r="AB14" i="30"/>
  <c r="AB15" i="30"/>
  <c r="AB16" i="30"/>
  <c r="AB17" i="30"/>
  <c r="AB18" i="30"/>
  <c r="AB19" i="30"/>
  <c r="AB25" i="30"/>
  <c r="AB26" i="30"/>
  <c r="AB27" i="30"/>
  <c r="AB29" i="30"/>
  <c r="AB30" i="30"/>
  <c r="AB37" i="30"/>
  <c r="AB39" i="30"/>
  <c r="AB42" i="30"/>
  <c r="AB43" i="30"/>
  <c r="AB45" i="30"/>
  <c r="AB49" i="30"/>
  <c r="AB50" i="30"/>
  <c r="AB52" i="30"/>
  <c r="AB54" i="30"/>
  <c r="AB55" i="30"/>
  <c r="AB59" i="30"/>
  <c r="AB61" i="30"/>
  <c r="AB62" i="30"/>
  <c r="AB64" i="30"/>
  <c r="AB66" i="30"/>
  <c r="AB68" i="30"/>
  <c r="AB69" i="30"/>
  <c r="AB70" i="30"/>
  <c r="AB72" i="30"/>
  <c r="AB74" i="30"/>
  <c r="AB75" i="30"/>
  <c r="AB78" i="30"/>
  <c r="AB79" i="30"/>
  <c r="AB80" i="30"/>
  <c r="AB81" i="30"/>
  <c r="AB82" i="30"/>
  <c r="AB83" i="30"/>
  <c r="AB84" i="30"/>
  <c r="AB85" i="30"/>
  <c r="AB86" i="30"/>
  <c r="AB88" i="30"/>
  <c r="AB91" i="30"/>
  <c r="AB92" i="30"/>
  <c r="AB93" i="30"/>
  <c r="AB95" i="30"/>
  <c r="AB97" i="30"/>
  <c r="AB98" i="30"/>
  <c r="AB99" i="30"/>
  <c r="AB100" i="30"/>
  <c r="AB104" i="30"/>
  <c r="AB105" i="30"/>
  <c r="AB107" i="30"/>
  <c r="AB108" i="30"/>
  <c r="AB111" i="30"/>
  <c r="D325" i="55" l="1"/>
  <c r="D156" i="50"/>
  <c r="D149" i="50"/>
  <c r="D144" i="50"/>
  <c r="D140" i="50"/>
  <c r="D134" i="50"/>
  <c r="D131" i="50"/>
  <c r="D123" i="50"/>
  <c r="D112" i="50"/>
  <c r="D104" i="50"/>
  <c r="D98" i="50"/>
  <c r="D90" i="50"/>
  <c r="D84" i="50"/>
  <c r="D79" i="50"/>
  <c r="D70" i="50"/>
  <c r="D63" i="50"/>
  <c r="D160" i="50"/>
  <c r="D166" i="50"/>
  <c r="D170" i="50"/>
  <c r="D177" i="50"/>
  <c r="D183" i="50"/>
  <c r="D188" i="50"/>
  <c r="D194" i="50"/>
  <c r="D201" i="50"/>
  <c r="D207" i="50"/>
  <c r="D214" i="50"/>
  <c r="D220" i="50"/>
  <c r="D225" i="50"/>
  <c r="D231" i="50"/>
  <c r="D240" i="50"/>
  <c r="D248" i="50"/>
  <c r="D255" i="50"/>
  <c r="D259" i="50"/>
  <c r="D264" i="50"/>
  <c r="D273" i="50"/>
  <c r="D279" i="50"/>
  <c r="D283" i="50"/>
  <c r="D290" i="50"/>
  <c r="D293" i="50"/>
  <c r="D301" i="50"/>
  <c r="D304" i="50"/>
  <c r="D307" i="50"/>
  <c r="D314" i="50"/>
  <c r="D319" i="50"/>
  <c r="D327" i="50"/>
  <c r="D334" i="50"/>
  <c r="D338" i="50"/>
  <c r="D341" i="50"/>
  <c r="D348" i="50"/>
  <c r="D54" i="50"/>
  <c r="D45" i="50"/>
  <c r="D38" i="50"/>
  <c r="D29" i="50"/>
  <c r="D21" i="50"/>
  <c r="D14" i="50"/>
  <c r="D6" i="50"/>
  <c r="D3" i="50"/>
  <c r="N77" i="30"/>
  <c r="D349" i="50" l="1"/>
  <c r="D352" i="50" s="1"/>
  <c r="X57" i="30" l="1"/>
  <c r="H65" i="47"/>
  <c r="X10" i="30"/>
  <c r="X22" i="30"/>
  <c r="X94" i="30"/>
  <c r="X67" i="30"/>
  <c r="X110" i="30"/>
  <c r="X23" i="30"/>
  <c r="X13" i="30"/>
  <c r="X9" i="30"/>
  <c r="X33" i="30"/>
  <c r="X7" i="30"/>
  <c r="C3" i="44"/>
  <c r="C4" i="44"/>
  <c r="C5" i="44"/>
  <c r="C6" i="44"/>
  <c r="C7" i="44"/>
  <c r="C8" i="44"/>
  <c r="C9"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2" i="44"/>
  <c r="C1" i="44"/>
  <c r="H47" i="41" l="1"/>
  <c r="H49" i="41" s="1"/>
  <c r="V41" i="30" l="1"/>
  <c r="V40" i="30"/>
  <c r="V31" i="30"/>
  <c r="V7" i="30"/>
  <c r="V44" i="30"/>
  <c r="D333" i="40"/>
  <c r="D326" i="40"/>
  <c r="D322" i="40"/>
  <c r="D315" i="40"/>
  <c r="D306" i="40"/>
  <c r="D301" i="40"/>
  <c r="D295" i="40"/>
  <c r="D292" i="40"/>
  <c r="D289" i="40"/>
  <c r="D281" i="40"/>
  <c r="D278" i="40"/>
  <c r="D273" i="40"/>
  <c r="D270" i="40"/>
  <c r="D263" i="40"/>
  <c r="D254" i="40"/>
  <c r="D249" i="40"/>
  <c r="D245" i="40"/>
  <c r="D237" i="40"/>
  <c r="D230" i="40"/>
  <c r="D223" i="40"/>
  <c r="D217" i="40"/>
  <c r="D212" i="40"/>
  <c r="D205" i="40"/>
  <c r="D198" i="40"/>
  <c r="D192" i="40"/>
  <c r="D186" i="40"/>
  <c r="D180" i="40"/>
  <c r="D175" i="40"/>
  <c r="D170" i="40"/>
  <c r="D163" i="40"/>
  <c r="D159" i="40"/>
  <c r="D154" i="40"/>
  <c r="D147" i="40"/>
  <c r="D142" i="40"/>
  <c r="D138" i="40"/>
  <c r="D134" i="40"/>
  <c r="D131" i="40"/>
  <c r="D126" i="40"/>
  <c r="D117" i="40"/>
  <c r="D107" i="40"/>
  <c r="D99" i="40"/>
  <c r="D93" i="40"/>
  <c r="D84" i="40"/>
  <c r="D80" i="40"/>
  <c r="D75" i="40"/>
  <c r="D66" i="40"/>
  <c r="D59" i="40"/>
  <c r="D48" i="40"/>
  <c r="D41" i="40"/>
  <c r="D34" i="40"/>
  <c r="D26" i="40"/>
  <c r="D20" i="40"/>
  <c r="D13" i="40"/>
  <c r="D6" i="40"/>
  <c r="D3" i="40"/>
  <c r="T13" i="30"/>
  <c r="T7" i="30"/>
  <c r="T56" i="30"/>
  <c r="T32" i="30"/>
  <c r="T77" i="30"/>
  <c r="T10" i="30"/>
  <c r="T109" i="30"/>
  <c r="T8" i="30"/>
  <c r="T33" i="30"/>
  <c r="T35" i="30"/>
  <c r="T28" i="30"/>
  <c r="T110" i="30"/>
  <c r="T44" i="30"/>
  <c r="D334" i="40" l="1"/>
  <c r="F335" i="40" s="1"/>
  <c r="T94" i="30"/>
  <c r="T23" i="30"/>
  <c r="S112" i="30" l="1"/>
  <c r="D345" i="39" l="1"/>
  <c r="D338" i="39"/>
  <c r="D334" i="39"/>
  <c r="D327" i="39"/>
  <c r="D319" i="39"/>
  <c r="D314" i="39"/>
  <c r="D307" i="39"/>
  <c r="D304" i="39"/>
  <c r="D301" i="39"/>
  <c r="D293" i="39"/>
  <c r="D290" i="39"/>
  <c r="D284" i="39"/>
  <c r="D280" i="39"/>
  <c r="D273" i="39"/>
  <c r="D264" i="39"/>
  <c r="D259" i="39"/>
  <c r="D255" i="39"/>
  <c r="D248" i="39"/>
  <c r="D241" i="39"/>
  <c r="D234" i="39"/>
  <c r="D228" i="39"/>
  <c r="D223" i="39"/>
  <c r="D216" i="39"/>
  <c r="D209" i="39"/>
  <c r="D203" i="39"/>
  <c r="D196" i="39"/>
  <c r="D190" i="39"/>
  <c r="D185" i="39"/>
  <c r="D179" i="39"/>
  <c r="D172" i="39"/>
  <c r="D168" i="39"/>
  <c r="D162" i="39"/>
  <c r="D154" i="39"/>
  <c r="D149" i="39"/>
  <c r="D144" i="39"/>
  <c r="D140" i="39"/>
  <c r="D136" i="39"/>
  <c r="D129" i="39"/>
  <c r="D122" i="39"/>
  <c r="D113" i="39"/>
  <c r="D104" i="39"/>
  <c r="D98" i="39"/>
  <c r="D90" i="39"/>
  <c r="D85" i="39"/>
  <c r="D78" i="39"/>
  <c r="D68" i="39"/>
  <c r="D61" i="39"/>
  <c r="D51" i="39"/>
  <c r="D42" i="39"/>
  <c r="D35" i="39"/>
  <c r="D27" i="39"/>
  <c r="D20" i="39"/>
  <c r="D13" i="39"/>
  <c r="D6" i="39"/>
  <c r="D3" i="39"/>
  <c r="R65" i="30"/>
  <c r="AB65" i="30" l="1"/>
  <c r="AG65" i="30"/>
  <c r="R10" i="30"/>
  <c r="R12" i="30"/>
  <c r="R13" i="30" l="1"/>
  <c r="R22" i="30"/>
  <c r="R7" i="30" l="1"/>
  <c r="R34" i="30"/>
  <c r="R28" i="30"/>
  <c r="R94" i="30"/>
  <c r="R23" i="30"/>
  <c r="R112" i="30" l="1"/>
  <c r="P63" i="30" l="1"/>
  <c r="P110" i="30"/>
  <c r="P23" i="30"/>
  <c r="AG63" i="30" l="1"/>
  <c r="AB63" i="30"/>
  <c r="P32" i="30"/>
  <c r="P46" i="30"/>
  <c r="P56" i="30"/>
  <c r="P71" i="30" l="1"/>
  <c r="P8" i="30" l="1"/>
  <c r="P41" i="30" l="1"/>
  <c r="P44" i="30" l="1"/>
  <c r="P38" i="30" l="1"/>
  <c r="P10" i="30" l="1"/>
  <c r="P13" i="30"/>
  <c r="P22" i="30" l="1"/>
  <c r="N90" i="30" l="1"/>
  <c r="N41" i="30"/>
  <c r="N87" i="30"/>
  <c r="AG87" i="30" l="1"/>
  <c r="AB87" i="30"/>
  <c r="N71" i="30"/>
  <c r="N38" i="30"/>
  <c r="N58" i="30"/>
  <c r="N110" i="30"/>
  <c r="N96" i="30"/>
  <c r="AB38" i="30" l="1"/>
  <c r="AG38" i="30"/>
  <c r="AG96" i="30"/>
  <c r="AB96" i="30"/>
  <c r="N12" i="30"/>
  <c r="N44" i="30"/>
  <c r="N9" i="30" l="1"/>
  <c r="N22" i="30" l="1"/>
  <c r="N34" i="30" l="1"/>
  <c r="N94" i="30"/>
  <c r="N109" i="30"/>
  <c r="N35" i="30"/>
  <c r="N53" i="30"/>
  <c r="N56" i="30"/>
  <c r="AG56" i="30" l="1"/>
  <c r="AB56" i="30"/>
  <c r="AB94" i="30"/>
  <c r="AG94" i="30"/>
  <c r="AB53" i="30"/>
  <c r="AG53" i="30"/>
  <c r="N103" i="30"/>
  <c r="N6" i="30"/>
  <c r="N28" i="30"/>
  <c r="N23" i="30"/>
  <c r="N31" i="30"/>
  <c r="N13" i="30"/>
  <c r="AG23" i="30" l="1"/>
  <c r="AB23" i="30"/>
  <c r="L112" i="30"/>
  <c r="G72" i="34"/>
  <c r="K112" i="30" l="1"/>
  <c r="K115" i="30" s="1"/>
  <c r="E76" i="35"/>
  <c r="J33" i="30" l="1"/>
  <c r="J6" i="30"/>
  <c r="J57" i="30"/>
  <c r="J22" i="30"/>
  <c r="J32" i="30"/>
  <c r="J7" i="30"/>
  <c r="AB22" i="30" l="1"/>
  <c r="AG22" i="30"/>
  <c r="AG32" i="30"/>
  <c r="AB32" i="30"/>
  <c r="J36" i="30"/>
  <c r="J48" i="30"/>
  <c r="J20" i="30"/>
  <c r="J51" i="30"/>
  <c r="J110" i="30" l="1"/>
  <c r="J46" i="30"/>
  <c r="J13" i="30"/>
  <c r="J109" i="30"/>
  <c r="J35" i="30"/>
  <c r="J73" i="30"/>
  <c r="J28" i="30"/>
  <c r="J40" i="30"/>
  <c r="AG40" i="30" l="1"/>
  <c r="AB40" i="30"/>
  <c r="AB110" i="30"/>
  <c r="AG110" i="30"/>
  <c r="J21" i="30"/>
  <c r="J34" i="30"/>
  <c r="J67" i="30"/>
  <c r="J89" i="30"/>
  <c r="AB89" i="30" l="1"/>
  <c r="AG89" i="30"/>
  <c r="AG67" i="30"/>
  <c r="AB67" i="30"/>
  <c r="AB21" i="30"/>
  <c r="AG21" i="30"/>
  <c r="J9" i="30"/>
  <c r="J101" i="30"/>
  <c r="J8" i="30"/>
  <c r="J44" i="30"/>
  <c r="J76" i="30"/>
  <c r="J41" i="30"/>
  <c r="J12" i="30"/>
  <c r="AB41" i="30" l="1"/>
  <c r="AG41" i="30"/>
  <c r="AB101" i="30"/>
  <c r="AG101" i="30"/>
  <c r="AG76" i="30"/>
  <c r="AB76" i="30"/>
  <c r="AB9" i="30"/>
  <c r="AG9" i="30"/>
  <c r="AG44" i="30"/>
  <c r="AB44" i="30"/>
  <c r="H36" i="30"/>
  <c r="AG36" i="30" l="1"/>
  <c r="AB36" i="30"/>
  <c r="H77" i="30"/>
  <c r="H47" i="30"/>
  <c r="H7" i="30"/>
  <c r="H90" i="30"/>
  <c r="H109" i="30"/>
  <c r="H58" i="30"/>
  <c r="AG47" i="30" l="1"/>
  <c r="AB47" i="30"/>
  <c r="AB90" i="30"/>
  <c r="AG90" i="30"/>
  <c r="AB109" i="30"/>
  <c r="AG109" i="30"/>
  <c r="AB77" i="30"/>
  <c r="AG77" i="30"/>
  <c r="H24" i="30"/>
  <c r="AG24" i="30" l="1"/>
  <c r="AB24" i="30"/>
  <c r="H28" i="30"/>
  <c r="H12" i="30"/>
  <c r="H73" i="30"/>
  <c r="H13" i="30"/>
  <c r="H48" i="30"/>
  <c r="H6" i="30"/>
  <c r="H8" i="30"/>
  <c r="H33" i="30"/>
  <c r="H35" i="30"/>
  <c r="H71" i="30"/>
  <c r="H31" i="30"/>
  <c r="H34" i="30"/>
  <c r="H46" i="30"/>
  <c r="AG28" i="30" l="1"/>
  <c r="AB28" i="30"/>
  <c r="AB33" i="30"/>
  <c r="AG33" i="30"/>
  <c r="AG12" i="30"/>
  <c r="AB12" i="30"/>
  <c r="AG48" i="30"/>
  <c r="AB48" i="30"/>
  <c r="AB73" i="30"/>
  <c r="AG73" i="30"/>
  <c r="D255" i="32"/>
  <c r="D252" i="32"/>
  <c r="D390" i="32"/>
  <c r="D381" i="32"/>
  <c r="D378" i="32"/>
  <c r="D372" i="32"/>
  <c r="D365" i="32"/>
  <c r="D357" i="32"/>
  <c r="D352" i="32"/>
  <c r="D347" i="32"/>
  <c r="D344" i="32"/>
  <c r="D341" i="32"/>
  <c r="D333" i="32"/>
  <c r="D330" i="32"/>
  <c r="D322" i="32"/>
  <c r="D317" i="32"/>
  <c r="D313" i="32"/>
  <c r="D305" i="32"/>
  <c r="D294" i="32"/>
  <c r="D288" i="32"/>
  <c r="D284" i="32"/>
  <c r="D278" i="32"/>
  <c r="D271" i="32"/>
  <c r="D262" i="32"/>
  <c r="D246" i="32"/>
  <c r="D237" i="32"/>
  <c r="D230" i="32"/>
  <c r="D224" i="32"/>
  <c r="D216" i="32"/>
  <c r="D209" i="32"/>
  <c r="D203" i="32"/>
  <c r="D197" i="32"/>
  <c r="D190" i="32"/>
  <c r="D184" i="32"/>
  <c r="D178" i="32"/>
  <c r="D173" i="32"/>
  <c r="D165" i="32"/>
  <c r="D162" i="32"/>
  <c r="D157" i="32"/>
  <c r="D152" i="32"/>
  <c r="D147" i="32"/>
  <c r="D142" i="32"/>
  <c r="D135" i="32"/>
  <c r="D125" i="32"/>
  <c r="D115" i="32"/>
  <c r="D109" i="32"/>
  <c r="D100" i="32"/>
  <c r="D95" i="32"/>
  <c r="D90" i="32"/>
  <c r="D81" i="32"/>
  <c r="D72" i="32"/>
  <c r="D60" i="32"/>
  <c r="D48" i="32"/>
  <c r="D42" i="32"/>
  <c r="D33" i="32"/>
  <c r="D25" i="32"/>
  <c r="D17" i="32"/>
  <c r="D8" i="32"/>
  <c r="D3" i="32"/>
  <c r="D391" i="32" l="1"/>
  <c r="F35" i="30"/>
  <c r="F51" i="30"/>
  <c r="F20" i="30"/>
  <c r="F7" i="30"/>
  <c r="F71" i="30"/>
  <c r="AG20" i="30" l="1"/>
  <c r="AB20" i="30"/>
  <c r="AG51" i="30"/>
  <c r="AB51" i="30"/>
  <c r="AG71" i="30"/>
  <c r="AB71" i="30"/>
  <c r="F106" i="30"/>
  <c r="F60" i="30"/>
  <c r="F10" i="30"/>
  <c r="F103" i="30"/>
  <c r="F31" i="30"/>
  <c r="F58" i="30"/>
  <c r="F13" i="30"/>
  <c r="F6" i="30"/>
  <c r="F8" i="30"/>
  <c r="AG31" i="30" l="1"/>
  <c r="AB31" i="30"/>
  <c r="AB106" i="30"/>
  <c r="AG106" i="30"/>
  <c r="AB58" i="30"/>
  <c r="AG58" i="30"/>
  <c r="AG60" i="30"/>
  <c r="AB60" i="30"/>
  <c r="AG8" i="30"/>
  <c r="AB8" i="30"/>
  <c r="AG6" i="30"/>
  <c r="AB6" i="30"/>
  <c r="AG103" i="30"/>
  <c r="AB103" i="30"/>
  <c r="AB10" i="30"/>
  <c r="AG10" i="30"/>
  <c r="F46" i="30"/>
  <c r="AB46" i="30" l="1"/>
  <c r="AG46" i="30"/>
  <c r="D392" i="31"/>
  <c r="D389" i="31"/>
  <c r="D380" i="31"/>
  <c r="D374" i="31"/>
  <c r="D367" i="31"/>
  <c r="D359" i="31"/>
  <c r="D356" i="31"/>
  <c r="D351" i="31"/>
  <c r="D346" i="31"/>
  <c r="D343" i="31"/>
  <c r="D340" i="31"/>
  <c r="D331" i="31"/>
  <c r="D328" i="31"/>
  <c r="D321" i="31"/>
  <c r="D315" i="31"/>
  <c r="D311" i="31"/>
  <c r="D303" i="31"/>
  <c r="D292" i="31"/>
  <c r="D285" i="31"/>
  <c r="D281" i="31"/>
  <c r="D275" i="31"/>
  <c r="D269" i="31"/>
  <c r="D259" i="31"/>
  <c r="D253" i="31"/>
  <c r="D249" i="31"/>
  <c r="D242" i="31"/>
  <c r="D232" i="31"/>
  <c r="D225" i="31"/>
  <c r="D220" i="31"/>
  <c r="D213" i="31"/>
  <c r="D206" i="31"/>
  <c r="D202" i="31"/>
  <c r="D195" i="31"/>
  <c r="D188" i="31"/>
  <c r="D182" i="31"/>
  <c r="D176" i="31"/>
  <c r="D172" i="31"/>
  <c r="D164" i="31"/>
  <c r="D161" i="31"/>
  <c r="D156" i="31"/>
  <c r="D153" i="31"/>
  <c r="D150" i="31"/>
  <c r="D147" i="31"/>
  <c r="D141" i="31"/>
  <c r="D137" i="31"/>
  <c r="D130" i="31"/>
  <c r="D121" i="31"/>
  <c r="D110" i="31"/>
  <c r="D104" i="31"/>
  <c r="D95" i="31"/>
  <c r="D90" i="31"/>
  <c r="D84" i="31"/>
  <c r="D74" i="31"/>
  <c r="D64" i="31"/>
  <c r="D54" i="31"/>
  <c r="D45" i="31"/>
  <c r="D38" i="31"/>
  <c r="D28" i="31"/>
  <c r="D22" i="31"/>
  <c r="D15" i="31"/>
  <c r="D7" i="31"/>
  <c r="D3" i="31"/>
  <c r="D393" i="31" l="1"/>
  <c r="D396" i="31" s="1"/>
  <c r="D35" i="30"/>
  <c r="D102" i="30"/>
  <c r="D13" i="30"/>
  <c r="D57" i="30"/>
  <c r="D34" i="30"/>
  <c r="D7" i="30"/>
  <c r="AB57" i="30" l="1"/>
  <c r="AG57" i="30"/>
  <c r="AB13" i="30"/>
  <c r="AG13" i="30"/>
  <c r="AG7" i="30"/>
  <c r="AB7" i="30"/>
  <c r="AB102" i="30"/>
  <c r="AG102" i="30"/>
  <c r="AB34" i="30"/>
  <c r="AG34" i="30"/>
  <c r="AG35" i="30"/>
  <c r="AB35" i="30"/>
  <c r="D112" i="30"/>
  <c r="AD108" i="30"/>
  <c r="AD109" i="30"/>
  <c r="AD110" i="30"/>
  <c r="AH110" i="30" s="1"/>
  <c r="AD111" i="30"/>
  <c r="AD7" i="30"/>
  <c r="AD8" i="30"/>
  <c r="AD9" i="30"/>
  <c r="AD10" i="30"/>
  <c r="AD11" i="30"/>
  <c r="AD12" i="30"/>
  <c r="AD13" i="30"/>
  <c r="AD14" i="30"/>
  <c r="AD15" i="30"/>
  <c r="AD16" i="30"/>
  <c r="AD17" i="30"/>
  <c r="AD18" i="30"/>
  <c r="AD19" i="30"/>
  <c r="AD20" i="30"/>
  <c r="AD21" i="30"/>
  <c r="AD22" i="30"/>
  <c r="AD23" i="30"/>
  <c r="AD24" i="30"/>
  <c r="AD25" i="30"/>
  <c r="AH25" i="30" s="1"/>
  <c r="AD26" i="30"/>
  <c r="AD27" i="30"/>
  <c r="AD28" i="30"/>
  <c r="AD29" i="30"/>
  <c r="AH29" i="30" s="1"/>
  <c r="AD30" i="30"/>
  <c r="AD31" i="30"/>
  <c r="AD32" i="30"/>
  <c r="AD33" i="30"/>
  <c r="AH33" i="30" s="1"/>
  <c r="AD34" i="30"/>
  <c r="AD35" i="30"/>
  <c r="AD36" i="30"/>
  <c r="AD37" i="30"/>
  <c r="AH37" i="30" s="1"/>
  <c r="AD38" i="30"/>
  <c r="AD39" i="30"/>
  <c r="AD40" i="30"/>
  <c r="AD41" i="30"/>
  <c r="AH41" i="30" s="1"/>
  <c r="AD42" i="30"/>
  <c r="AD43" i="30"/>
  <c r="AD44" i="30"/>
  <c r="AD45" i="30"/>
  <c r="AH45" i="30" s="1"/>
  <c r="AD46" i="30"/>
  <c r="AD47" i="30"/>
  <c r="AD48" i="30"/>
  <c r="AD49" i="30"/>
  <c r="AD50" i="30"/>
  <c r="AD51" i="30"/>
  <c r="AD52" i="30"/>
  <c r="AD53" i="30"/>
  <c r="AD54" i="30"/>
  <c r="AD55" i="30"/>
  <c r="AD56" i="30"/>
  <c r="AD57" i="30"/>
  <c r="AD58" i="30"/>
  <c r="AD59" i="30"/>
  <c r="AD60" i="30"/>
  <c r="AD61" i="30"/>
  <c r="AD62" i="30"/>
  <c r="AD63" i="30"/>
  <c r="AD64" i="30"/>
  <c r="AD65" i="30"/>
  <c r="AD66" i="30"/>
  <c r="AD67" i="30"/>
  <c r="AD68" i="30"/>
  <c r="AD69" i="30"/>
  <c r="AD70" i="30"/>
  <c r="AD71" i="30"/>
  <c r="AD72" i="30"/>
  <c r="AD73" i="30"/>
  <c r="AD74" i="30"/>
  <c r="AD75" i="30"/>
  <c r="AD76" i="30"/>
  <c r="AD77" i="30"/>
  <c r="AD78" i="30"/>
  <c r="AD79" i="30"/>
  <c r="AD80" i="30"/>
  <c r="AD81" i="30"/>
  <c r="AD82" i="30"/>
  <c r="AD83" i="30"/>
  <c r="AD84" i="30"/>
  <c r="AD85" i="30"/>
  <c r="AD86" i="30"/>
  <c r="AD87" i="30"/>
  <c r="AD88" i="30"/>
  <c r="AD89" i="30"/>
  <c r="AD90" i="30"/>
  <c r="AD91" i="30"/>
  <c r="AD92" i="30"/>
  <c r="AD93" i="30"/>
  <c r="AD94" i="30"/>
  <c r="AD95" i="30"/>
  <c r="AD96" i="30"/>
  <c r="AD97" i="30"/>
  <c r="AD98" i="30"/>
  <c r="AD99" i="30"/>
  <c r="AD100" i="30"/>
  <c r="AD101" i="30"/>
  <c r="AD102" i="30"/>
  <c r="AD103" i="30"/>
  <c r="AD104" i="30"/>
  <c r="AD105" i="30"/>
  <c r="AD106" i="30"/>
  <c r="AD107" i="30"/>
  <c r="AD6" i="30"/>
  <c r="AA112" i="30"/>
  <c r="AA115" i="30" s="1"/>
  <c r="U112" i="30"/>
  <c r="U115" i="30" s="1"/>
  <c r="T112" i="30"/>
  <c r="S115" i="30"/>
  <c r="Q112" i="30"/>
  <c r="Q115" i="30" s="1"/>
  <c r="O112" i="30"/>
  <c r="O115" i="30" s="1"/>
  <c r="M112" i="30"/>
  <c r="M115" i="30" s="1"/>
  <c r="I112" i="30"/>
  <c r="I115" i="30" s="1"/>
  <c r="G112" i="30"/>
  <c r="G115" i="30" s="1"/>
  <c r="E112" i="30"/>
  <c r="E115" i="30" s="1"/>
  <c r="AF111" i="30"/>
  <c r="AF110" i="30"/>
  <c r="AF109" i="30"/>
  <c r="AF108" i="30"/>
  <c r="AF107" i="30"/>
  <c r="AF106" i="30"/>
  <c r="AF105" i="30"/>
  <c r="AF104" i="30"/>
  <c r="AF103" i="30"/>
  <c r="AF102" i="30"/>
  <c r="AF101" i="30"/>
  <c r="AF100" i="30"/>
  <c r="AF99" i="30"/>
  <c r="AF98" i="30"/>
  <c r="AF97" i="30"/>
  <c r="AF96" i="30"/>
  <c r="AF95" i="30"/>
  <c r="AF94" i="30"/>
  <c r="AF93" i="30"/>
  <c r="AF92" i="30"/>
  <c r="AF91" i="30"/>
  <c r="AF90" i="30"/>
  <c r="AF89" i="30"/>
  <c r="AF88" i="30"/>
  <c r="AF87" i="30"/>
  <c r="AF86" i="30"/>
  <c r="AF85" i="30"/>
  <c r="AF84" i="30"/>
  <c r="AF83" i="30"/>
  <c r="AF82" i="30"/>
  <c r="AF81" i="30"/>
  <c r="AF80" i="30"/>
  <c r="AF79" i="30"/>
  <c r="AF78" i="30"/>
  <c r="AF77" i="30"/>
  <c r="AF76" i="30"/>
  <c r="AF75" i="30"/>
  <c r="AF74" i="30"/>
  <c r="AF73" i="30"/>
  <c r="AF72" i="30"/>
  <c r="AF71" i="30"/>
  <c r="AF70" i="30"/>
  <c r="AF69" i="30"/>
  <c r="AF68" i="30"/>
  <c r="AF67" i="30"/>
  <c r="AF66" i="30"/>
  <c r="AF65" i="30"/>
  <c r="AF64" i="30"/>
  <c r="AF63" i="30"/>
  <c r="AF62" i="30"/>
  <c r="AF61" i="30"/>
  <c r="AF60" i="30"/>
  <c r="AF59" i="30"/>
  <c r="AF58" i="30"/>
  <c r="AF57" i="30"/>
  <c r="AF56" i="30"/>
  <c r="AF55" i="30"/>
  <c r="AF54" i="30"/>
  <c r="AF53" i="30"/>
  <c r="AF52" i="30"/>
  <c r="AF51" i="30"/>
  <c r="AF50" i="30"/>
  <c r="AF49" i="30"/>
  <c r="AF48" i="30"/>
  <c r="AF47" i="30"/>
  <c r="AF46" i="30"/>
  <c r="H112" i="30"/>
  <c r="AF45" i="30"/>
  <c r="AF44" i="30"/>
  <c r="AF43" i="30"/>
  <c r="AF42" i="30"/>
  <c r="AF41" i="30"/>
  <c r="AF40" i="30"/>
  <c r="AF39" i="30"/>
  <c r="AF38" i="30"/>
  <c r="AF37" i="30"/>
  <c r="AF36" i="30"/>
  <c r="AF35" i="30"/>
  <c r="AF34" i="30"/>
  <c r="AF33" i="30"/>
  <c r="AF32" i="30"/>
  <c r="AF31" i="30"/>
  <c r="AF30" i="30"/>
  <c r="AF29" i="30"/>
  <c r="AF28" i="30"/>
  <c r="AF27" i="30"/>
  <c r="AF26" i="30"/>
  <c r="AF25" i="30"/>
  <c r="AF24" i="30"/>
  <c r="AF23" i="30"/>
  <c r="AF22" i="30"/>
  <c r="AF21" i="30"/>
  <c r="AF20" i="30"/>
  <c r="AF19" i="30"/>
  <c r="AF18" i="30"/>
  <c r="AF17" i="30"/>
  <c r="AF16" i="30"/>
  <c r="AF15" i="30"/>
  <c r="AF14" i="30"/>
  <c r="AF13" i="30"/>
  <c r="AF12" i="30"/>
  <c r="AF11" i="30"/>
  <c r="AF10" i="30"/>
  <c r="AF9" i="30"/>
  <c r="AF8" i="30"/>
  <c r="P112" i="30"/>
  <c r="AF7" i="30"/>
  <c r="Z112" i="30"/>
  <c r="AF6" i="30"/>
  <c r="X112" i="30"/>
  <c r="J112" i="30"/>
  <c r="AH21" i="30" l="1"/>
  <c r="AH17" i="30"/>
  <c r="AH9" i="30"/>
  <c r="AH104" i="30"/>
  <c r="AH100" i="30"/>
  <c r="AH93" i="30"/>
  <c r="AH81" i="30"/>
  <c r="AH69" i="30"/>
  <c r="AH57" i="30"/>
  <c r="AH96" i="30"/>
  <c r="AH92" i="30"/>
  <c r="AH88" i="30"/>
  <c r="AH84" i="30"/>
  <c r="AH80" i="30"/>
  <c r="AH76" i="30"/>
  <c r="AH72" i="30"/>
  <c r="AH68" i="30"/>
  <c r="AH64" i="30"/>
  <c r="AH60" i="30"/>
  <c r="AH56" i="30"/>
  <c r="AH52" i="30"/>
  <c r="AH48" i="30"/>
  <c r="AH44" i="30"/>
  <c r="AH40" i="30"/>
  <c r="AH36" i="30"/>
  <c r="AH32" i="30"/>
  <c r="AH28" i="30"/>
  <c r="AH24" i="30"/>
  <c r="AH20" i="30"/>
  <c r="AH16" i="30"/>
  <c r="AH12" i="30"/>
  <c r="AH8" i="30"/>
  <c r="AH109" i="30"/>
  <c r="AH34" i="30"/>
  <c r="AH101" i="30"/>
  <c r="AH89" i="30"/>
  <c r="AH77" i="30"/>
  <c r="AH61" i="30"/>
  <c r="AH49" i="30"/>
  <c r="AH107" i="30"/>
  <c r="AH103" i="30"/>
  <c r="AH99" i="30"/>
  <c r="AH95" i="30"/>
  <c r="AH91" i="30"/>
  <c r="AH87" i="30"/>
  <c r="AH83" i="30"/>
  <c r="AH79" i="30"/>
  <c r="AH75" i="30"/>
  <c r="AH71" i="30"/>
  <c r="AH67" i="30"/>
  <c r="AH63" i="30"/>
  <c r="AH59" i="30"/>
  <c r="AH55" i="30"/>
  <c r="AH51" i="30"/>
  <c r="AH47" i="30"/>
  <c r="AH43" i="30"/>
  <c r="AH39" i="30"/>
  <c r="AH35" i="30"/>
  <c r="AH31" i="30"/>
  <c r="AH27" i="30"/>
  <c r="AH23" i="30"/>
  <c r="AH19" i="30"/>
  <c r="AH15" i="30"/>
  <c r="AH11" i="30"/>
  <c r="AH7" i="30"/>
  <c r="AH108" i="30"/>
  <c r="AH105" i="30"/>
  <c r="AH97" i="30"/>
  <c r="AH85" i="30"/>
  <c r="AH73" i="30"/>
  <c r="AH65" i="30"/>
  <c r="AH53" i="30"/>
  <c r="AH106" i="30"/>
  <c r="AH98" i="30"/>
  <c r="AH94" i="30"/>
  <c r="AH90" i="30"/>
  <c r="AH86" i="30"/>
  <c r="AH82" i="30"/>
  <c r="AH78" i="30"/>
  <c r="AH74" i="30"/>
  <c r="AH70" i="30"/>
  <c r="AH66" i="30"/>
  <c r="AH62" i="30"/>
  <c r="AH58" i="30"/>
  <c r="AH54" i="30"/>
  <c r="AH50" i="30"/>
  <c r="AH46" i="30"/>
  <c r="AH42" i="30"/>
  <c r="AH38" i="30"/>
  <c r="AH30" i="30"/>
  <c r="AH26" i="30"/>
  <c r="AH22" i="30"/>
  <c r="AH18" i="30"/>
  <c r="AH14" i="30"/>
  <c r="AH10" i="30"/>
  <c r="AH111" i="30"/>
  <c r="AH102" i="30"/>
  <c r="AH13" i="30"/>
  <c r="AD112" i="30"/>
  <c r="F112" i="30"/>
  <c r="N112" i="30"/>
  <c r="AF112" i="30"/>
  <c r="AH6" i="30"/>
  <c r="AF44" i="27"/>
  <c r="AA112" i="27" l="1"/>
  <c r="AA115" i="27" s="1"/>
  <c r="Z13" i="27" l="1"/>
  <c r="Z7" i="27"/>
  <c r="Z90" i="27"/>
  <c r="Z87" i="27"/>
  <c r="Z101" i="27"/>
  <c r="Z38" i="27"/>
  <c r="Z28" i="27"/>
  <c r="Z26" i="27"/>
  <c r="Z36" i="27" l="1"/>
  <c r="Z110" i="27"/>
  <c r="Z29" i="27"/>
  <c r="Z21" i="27"/>
  <c r="Z77" i="27"/>
  <c r="Z23" i="27" l="1"/>
  <c r="Z9" i="27"/>
  <c r="Z73" i="27"/>
  <c r="Z102" i="27"/>
  <c r="Z57" i="27"/>
  <c r="Z10" i="27"/>
  <c r="Z24" i="27"/>
  <c r="Z48" i="27" l="1"/>
  <c r="Z94" i="27"/>
  <c r="Z53" i="27"/>
  <c r="Z46" i="27" l="1"/>
  <c r="Z112" i="27" s="1"/>
  <c r="Y112" i="27" l="1"/>
  <c r="Y115" i="27" s="1"/>
  <c r="X109" i="27"/>
  <c r="X21" i="27" l="1"/>
  <c r="X31" i="27"/>
  <c r="X40" i="27"/>
  <c r="X35" i="27"/>
  <c r="X94" i="27"/>
  <c r="X96" i="27"/>
  <c r="X7" i="27"/>
  <c r="X60" i="27" l="1"/>
  <c r="X44" i="27"/>
  <c r="X12" i="27"/>
  <c r="X48" i="27"/>
  <c r="X58" i="27"/>
  <c r="X29" i="27"/>
  <c r="X8" i="27"/>
  <c r="X38" i="27"/>
  <c r="X90" i="27"/>
  <c r="X32" i="27" l="1"/>
  <c r="X71" i="27"/>
  <c r="X33" i="27" l="1"/>
  <c r="X6" i="27"/>
  <c r="X46" i="27"/>
  <c r="X53" i="27"/>
  <c r="X112" i="27" l="1"/>
  <c r="J40" i="27"/>
  <c r="J36" i="27"/>
  <c r="H36" i="27"/>
  <c r="W112" i="27" l="1"/>
  <c r="AG110" i="27"/>
  <c r="AF110" i="27"/>
  <c r="AB110" i="27"/>
  <c r="W115" i="27" l="1"/>
  <c r="X119" i="27"/>
  <c r="X118" i="27"/>
  <c r="AH110" i="27"/>
  <c r="G44" i="28"/>
  <c r="G43" i="28"/>
  <c r="V46" i="27" l="1"/>
  <c r="V38" i="27"/>
  <c r="V36" i="27"/>
  <c r="V13" i="27"/>
  <c r="V12" i="27"/>
  <c r="AN7" i="19" l="1"/>
  <c r="AN8" i="19"/>
  <c r="AN9" i="19"/>
  <c r="AN10" i="19"/>
  <c r="AN11" i="19"/>
  <c r="AN12" i="19"/>
  <c r="AN13" i="19"/>
  <c r="AN14" i="19"/>
  <c r="AN15" i="19"/>
  <c r="AN16" i="19"/>
  <c r="AN17" i="19"/>
  <c r="AN18" i="19"/>
  <c r="AN19" i="19"/>
  <c r="AN20" i="19"/>
  <c r="AN21" i="19"/>
  <c r="AN22" i="19"/>
  <c r="AN23" i="19"/>
  <c r="AN24" i="19"/>
  <c r="AN25" i="19"/>
  <c r="AN26" i="19"/>
  <c r="AN27" i="19"/>
  <c r="AN28" i="19"/>
  <c r="AN29" i="19"/>
  <c r="AN30" i="19"/>
  <c r="AN31" i="19"/>
  <c r="AN32" i="19"/>
  <c r="AN33" i="19"/>
  <c r="AN34" i="19"/>
  <c r="AN35" i="19"/>
  <c r="AN36" i="19"/>
  <c r="AN37" i="19"/>
  <c r="AN38" i="19"/>
  <c r="AN39" i="19"/>
  <c r="AN40" i="19"/>
  <c r="AN41" i="19"/>
  <c r="AN42" i="19"/>
  <c r="AN43" i="19"/>
  <c r="AN44" i="19"/>
  <c r="AN45" i="19"/>
  <c r="AN46" i="19"/>
  <c r="AN47" i="19"/>
  <c r="AN48" i="19"/>
  <c r="AN49" i="19"/>
  <c r="AN50" i="19"/>
  <c r="AN51" i="19"/>
  <c r="AN52" i="19"/>
  <c r="AN53" i="19"/>
  <c r="AN54" i="19"/>
  <c r="AN55" i="19"/>
  <c r="AN56" i="19"/>
  <c r="AN57" i="19"/>
  <c r="AN58" i="19"/>
  <c r="AN59" i="19"/>
  <c r="AN60" i="19"/>
  <c r="AN61" i="19"/>
  <c r="AN62" i="19"/>
  <c r="AN63" i="19"/>
  <c r="AN64" i="19"/>
  <c r="AN65" i="19"/>
  <c r="AN66" i="19"/>
  <c r="AN67" i="19"/>
  <c r="AN68" i="19"/>
  <c r="AN69" i="19"/>
  <c r="AN70" i="19"/>
  <c r="AN71" i="19"/>
  <c r="AN72" i="19"/>
  <c r="AN73" i="19"/>
  <c r="AN74" i="19"/>
  <c r="AN75" i="19"/>
  <c r="AN76" i="19"/>
  <c r="AN77" i="19"/>
  <c r="AN78" i="19"/>
  <c r="AN79" i="19"/>
  <c r="AN80" i="19"/>
  <c r="AN81" i="19"/>
  <c r="AN82" i="19"/>
  <c r="AN83" i="19"/>
  <c r="AN84" i="19"/>
  <c r="AN85" i="19"/>
  <c r="AN86" i="19"/>
  <c r="AN87" i="19"/>
  <c r="AN88" i="19"/>
  <c r="AN89" i="19"/>
  <c r="AN90" i="19"/>
  <c r="AN91" i="19"/>
  <c r="AN92" i="19"/>
  <c r="AN93" i="19"/>
  <c r="AN94" i="19"/>
  <c r="AN95" i="19"/>
  <c r="AN96" i="19"/>
  <c r="AN97" i="19"/>
  <c r="AN98" i="19"/>
  <c r="AN99" i="19"/>
  <c r="AN100" i="19"/>
  <c r="AN101" i="19"/>
  <c r="AN102" i="19"/>
  <c r="AN103" i="19"/>
  <c r="AN104" i="19"/>
  <c r="AN105" i="19"/>
  <c r="AN106" i="19"/>
  <c r="AN107" i="19"/>
  <c r="AN108" i="19"/>
  <c r="AN109" i="19"/>
  <c r="AN6" i="19"/>
  <c r="V51" i="27"/>
  <c r="V23" i="27"/>
  <c r="V60" i="27"/>
  <c r="V22" i="27"/>
  <c r="T112" i="27" l="1"/>
  <c r="U112" i="27" l="1"/>
  <c r="U115" i="27" s="1"/>
  <c r="S112" i="27" l="1"/>
  <c r="S115" i="27" s="1"/>
  <c r="Q112" i="27" l="1"/>
  <c r="P46" i="27" l="1"/>
  <c r="P10" i="27" l="1"/>
  <c r="AG108" i="27" l="1"/>
  <c r="P53" i="27"/>
  <c r="P13" i="27"/>
  <c r="P7" i="27"/>
  <c r="P24" i="27"/>
  <c r="P32" i="27"/>
  <c r="P8" i="27"/>
  <c r="P31" i="27"/>
  <c r="P58" i="27"/>
  <c r="P60" i="27"/>
  <c r="P47" i="27"/>
  <c r="P76" i="27"/>
  <c r="P96" i="27"/>
  <c r="P92" i="27"/>
  <c r="P56" i="27"/>
  <c r="P106" i="27"/>
  <c r="P57" i="27"/>
  <c r="P34" i="27"/>
  <c r="P80" i="27"/>
  <c r="P26" i="27" l="1"/>
  <c r="P51" i="27"/>
  <c r="P73" i="27"/>
  <c r="P99" i="27"/>
  <c r="P109" i="27"/>
  <c r="P35" i="27"/>
  <c r="P22" i="27" l="1"/>
  <c r="P44" i="27"/>
  <c r="P71" i="27"/>
  <c r="P38" i="27"/>
  <c r="AB44" i="27" l="1"/>
  <c r="AG44" i="27"/>
  <c r="P112" i="27"/>
  <c r="AF108" i="27"/>
  <c r="AH108" i="27" s="1"/>
  <c r="AB108" i="27"/>
  <c r="O112" i="27" l="1"/>
  <c r="O115" i="27" s="1"/>
  <c r="N77" i="27" l="1"/>
  <c r="N90" i="27"/>
  <c r="N13" i="27" l="1"/>
  <c r="N34" i="27"/>
  <c r="N20" i="27"/>
  <c r="N8" i="27"/>
  <c r="N24" i="27" l="1"/>
  <c r="N106" i="27" l="1"/>
  <c r="N31" i="27"/>
  <c r="N46" i="27" l="1"/>
  <c r="N38" i="27"/>
  <c r="N10" i="27"/>
  <c r="N112" i="27" s="1"/>
  <c r="M112" i="27" l="1"/>
  <c r="M115" i="27" s="1"/>
  <c r="L112" i="27" l="1"/>
  <c r="K112" i="27" l="1"/>
  <c r="K115" i="27" s="1"/>
  <c r="J56" i="27" l="1"/>
  <c r="AB56" i="27" s="1"/>
  <c r="J7" i="27"/>
  <c r="J34" i="27"/>
  <c r="J73" i="27" l="1"/>
  <c r="J12" i="27"/>
  <c r="J6" i="27"/>
  <c r="J80" i="27"/>
  <c r="J8" i="27" l="1"/>
  <c r="B112" i="27" l="1"/>
  <c r="J32" i="27"/>
  <c r="J76" i="27"/>
  <c r="J20" i="27"/>
  <c r="J33" i="27"/>
  <c r="J53" i="27"/>
  <c r="J35" i="27"/>
  <c r="J13" i="27"/>
  <c r="J65" i="27"/>
  <c r="J28" i="27"/>
  <c r="J38" i="27"/>
  <c r="J26" i="27"/>
  <c r="J21" i="27"/>
  <c r="J24" i="27"/>
  <c r="J112" i="27" l="1"/>
  <c r="J114" i="27" s="1"/>
  <c r="AD112" i="27"/>
  <c r="I112" i="27"/>
  <c r="I115" i="27" s="1"/>
  <c r="G112" i="27"/>
  <c r="G115" i="27" s="1"/>
  <c r="E112" i="27"/>
  <c r="E115" i="27" s="1"/>
  <c r="D112" i="27"/>
  <c r="AG111" i="27"/>
  <c r="AF111" i="27"/>
  <c r="AB111" i="27"/>
  <c r="AG109" i="27"/>
  <c r="AF109" i="27"/>
  <c r="AB109" i="27"/>
  <c r="AG107" i="27"/>
  <c r="AF107" i="27"/>
  <c r="AB107" i="27"/>
  <c r="AF106" i="27"/>
  <c r="H106" i="27"/>
  <c r="F106" i="27"/>
  <c r="AG105" i="27"/>
  <c r="AF105" i="27"/>
  <c r="AB105" i="27"/>
  <c r="AG104" i="27"/>
  <c r="AF104" i="27"/>
  <c r="AB104" i="27"/>
  <c r="AG103" i="27"/>
  <c r="AF103" i="27"/>
  <c r="AB103" i="27"/>
  <c r="AG102" i="27"/>
  <c r="AF102" i="27"/>
  <c r="AB102" i="27"/>
  <c r="AG101" i="27"/>
  <c r="AF101" i="27"/>
  <c r="AB101" i="27"/>
  <c r="AG100" i="27"/>
  <c r="AF100" i="27"/>
  <c r="AB100" i="27"/>
  <c r="AG99" i="27"/>
  <c r="AF99" i="27"/>
  <c r="AB99" i="27"/>
  <c r="AG98" i="27"/>
  <c r="AF98" i="27"/>
  <c r="AB98" i="27"/>
  <c r="AG97" i="27"/>
  <c r="AF97" i="27"/>
  <c r="AB97" i="27"/>
  <c r="AF96" i="27"/>
  <c r="H96" i="27"/>
  <c r="F96" i="27"/>
  <c r="AG95" i="27"/>
  <c r="AF95" i="27"/>
  <c r="AB95" i="27"/>
  <c r="AG94" i="27"/>
  <c r="AF94" i="27"/>
  <c r="AB94" i="27"/>
  <c r="AG93" i="27"/>
  <c r="AF93" i="27"/>
  <c r="AB93" i="27"/>
  <c r="AF92" i="27"/>
  <c r="H92" i="27"/>
  <c r="F92" i="27"/>
  <c r="AG91" i="27"/>
  <c r="AF91" i="27"/>
  <c r="AB91" i="27"/>
  <c r="AF90" i="27"/>
  <c r="F90" i="27"/>
  <c r="AB90" i="27" s="1"/>
  <c r="AG89" i="27"/>
  <c r="AF89" i="27"/>
  <c r="AB89" i="27"/>
  <c r="AG88" i="27"/>
  <c r="AF88" i="27"/>
  <c r="AB88" i="27"/>
  <c r="AF87" i="27"/>
  <c r="F87" i="27"/>
  <c r="AB87" i="27" s="1"/>
  <c r="AG86" i="27"/>
  <c r="AF86" i="27"/>
  <c r="AB86" i="27"/>
  <c r="AG85" i="27"/>
  <c r="AF85" i="27"/>
  <c r="AB85" i="27"/>
  <c r="AG84" i="27"/>
  <c r="AF84" i="27"/>
  <c r="AB84" i="27"/>
  <c r="AG83" i="27"/>
  <c r="AF83" i="27"/>
  <c r="AB83" i="27"/>
  <c r="AG82" i="27"/>
  <c r="AF82" i="27"/>
  <c r="AB82" i="27"/>
  <c r="AG81" i="27"/>
  <c r="AF81" i="27"/>
  <c r="AB81" i="27"/>
  <c r="AG80" i="27"/>
  <c r="AF80" i="27"/>
  <c r="AB80" i="27"/>
  <c r="AG79" i="27"/>
  <c r="AF79" i="27"/>
  <c r="AB79" i="27"/>
  <c r="AG78" i="27"/>
  <c r="AF78" i="27"/>
  <c r="AB78" i="27"/>
  <c r="AF77" i="27"/>
  <c r="F77" i="27"/>
  <c r="AF76" i="27"/>
  <c r="F76" i="27"/>
  <c r="AB76" i="27" s="1"/>
  <c r="AG75" i="27"/>
  <c r="AF75" i="27"/>
  <c r="AB75" i="27"/>
  <c r="AG74" i="27"/>
  <c r="AF74" i="27"/>
  <c r="AB74" i="27"/>
  <c r="AF73" i="27"/>
  <c r="H73" i="27"/>
  <c r="AB73" i="27" s="1"/>
  <c r="AG72" i="27"/>
  <c r="AF72" i="27"/>
  <c r="AB72" i="27"/>
  <c r="AF71" i="27"/>
  <c r="H71" i="27"/>
  <c r="AB71" i="27" s="1"/>
  <c r="AG70" i="27"/>
  <c r="AF70" i="27"/>
  <c r="AB70" i="27"/>
  <c r="AG69" i="27"/>
  <c r="AF69" i="27"/>
  <c r="AB69" i="27"/>
  <c r="AG68" i="27"/>
  <c r="AF68" i="27"/>
  <c r="AB68" i="27"/>
  <c r="AF67" i="27"/>
  <c r="F67" i="27"/>
  <c r="AG67" i="27" s="1"/>
  <c r="AG66" i="27"/>
  <c r="AF66" i="27"/>
  <c r="AB66" i="27"/>
  <c r="AF65" i="27"/>
  <c r="F65" i="27"/>
  <c r="AG65" i="27" s="1"/>
  <c r="AG64" i="27"/>
  <c r="AF64" i="27"/>
  <c r="AB64" i="27"/>
  <c r="AG63" i="27"/>
  <c r="AF63" i="27"/>
  <c r="AB63" i="27"/>
  <c r="AG62" i="27"/>
  <c r="AF62" i="27"/>
  <c r="AB62" i="27"/>
  <c r="AG61" i="27"/>
  <c r="AF61" i="27"/>
  <c r="AB61" i="27"/>
  <c r="AF60" i="27"/>
  <c r="F60" i="27"/>
  <c r="AG60" i="27" s="1"/>
  <c r="AG59" i="27"/>
  <c r="AF59" i="27"/>
  <c r="AB59" i="27"/>
  <c r="AG58" i="27"/>
  <c r="AF58" i="27"/>
  <c r="AB58" i="27"/>
  <c r="AF57" i="27"/>
  <c r="H57" i="27"/>
  <c r="AB57" i="27" s="1"/>
  <c r="AG56" i="27"/>
  <c r="AF56" i="27"/>
  <c r="AG55" i="27"/>
  <c r="AF55" i="27"/>
  <c r="AB55" i="27"/>
  <c r="AG54" i="27"/>
  <c r="AF54" i="27"/>
  <c r="AB54" i="27"/>
  <c r="AF53" i="27"/>
  <c r="AG52" i="27"/>
  <c r="AF52" i="27"/>
  <c r="AB52" i="27"/>
  <c r="AF51" i="27"/>
  <c r="H51" i="27"/>
  <c r="F51" i="27"/>
  <c r="AG50" i="27"/>
  <c r="AF50" i="27"/>
  <c r="AB50" i="27"/>
  <c r="AF49" i="27"/>
  <c r="F49" i="27"/>
  <c r="AB49" i="27" s="1"/>
  <c r="AF48" i="27"/>
  <c r="H48" i="27"/>
  <c r="F48" i="27"/>
  <c r="AF47" i="27"/>
  <c r="F47" i="27"/>
  <c r="AG47" i="27" s="1"/>
  <c r="AF46" i="27"/>
  <c r="H46" i="27"/>
  <c r="F46" i="27"/>
  <c r="AG45" i="27"/>
  <c r="AF45" i="27"/>
  <c r="AB45" i="27"/>
  <c r="AG43" i="27"/>
  <c r="AF43" i="27"/>
  <c r="AB43" i="27"/>
  <c r="AG42" i="27"/>
  <c r="AF42" i="27"/>
  <c r="AB42" i="27"/>
  <c r="AG41" i="27"/>
  <c r="AF41" i="27"/>
  <c r="AB41" i="27"/>
  <c r="AG40" i="27"/>
  <c r="AF40" i="27"/>
  <c r="AB40" i="27"/>
  <c r="AG39" i="27"/>
  <c r="AF39" i="27"/>
  <c r="AB39" i="27"/>
  <c r="AG38" i="27"/>
  <c r="AF38" i="27"/>
  <c r="AB38" i="27"/>
  <c r="AG37" i="27"/>
  <c r="AF37" i="27"/>
  <c r="AB37" i="27"/>
  <c r="AG36" i="27"/>
  <c r="AF36" i="27"/>
  <c r="AB36" i="27"/>
  <c r="AF35" i="27"/>
  <c r="F35" i="27"/>
  <c r="AG35" i="27" s="1"/>
  <c r="AF34" i="27"/>
  <c r="H34" i="27"/>
  <c r="AG34" i="27" s="1"/>
  <c r="AF33" i="27"/>
  <c r="H33" i="27"/>
  <c r="AB33" i="27" s="1"/>
  <c r="AF32" i="27"/>
  <c r="H32" i="27"/>
  <c r="AB32" i="27" s="1"/>
  <c r="AF31" i="27"/>
  <c r="H31" i="27"/>
  <c r="AG31" i="27" s="1"/>
  <c r="AG30" i="27"/>
  <c r="AF30" i="27"/>
  <c r="AB30" i="27"/>
  <c r="AG29" i="27"/>
  <c r="AF29" i="27"/>
  <c r="AB29" i="27"/>
  <c r="AG28" i="27"/>
  <c r="AF28" i="27"/>
  <c r="AB28" i="27"/>
  <c r="AG27" i="27"/>
  <c r="AF27" i="27"/>
  <c r="AB27" i="27"/>
  <c r="AG26" i="27"/>
  <c r="AF26" i="27"/>
  <c r="AB26" i="27"/>
  <c r="AG25" i="27"/>
  <c r="AF25" i="27"/>
  <c r="AB25" i="27"/>
  <c r="AG24" i="27"/>
  <c r="AF24" i="27"/>
  <c r="AB24" i="27"/>
  <c r="AG23" i="27"/>
  <c r="AF23" i="27"/>
  <c r="AB23" i="27"/>
  <c r="AG22" i="27"/>
  <c r="AF22" i="27"/>
  <c r="AB22" i="27"/>
  <c r="AG21" i="27"/>
  <c r="AF21" i="27"/>
  <c r="AB21" i="27"/>
  <c r="AF20" i="27"/>
  <c r="F20" i="27"/>
  <c r="AG20" i="27" s="1"/>
  <c r="AG19" i="27"/>
  <c r="AF19" i="27"/>
  <c r="AB19" i="27"/>
  <c r="AG18" i="27"/>
  <c r="AF18" i="27"/>
  <c r="AB18" i="27"/>
  <c r="AG17" i="27"/>
  <c r="AF17" i="27"/>
  <c r="AB17" i="27"/>
  <c r="AG16" i="27"/>
  <c r="AF16" i="27"/>
  <c r="AB16" i="27"/>
  <c r="AG15" i="27"/>
  <c r="AF15" i="27"/>
  <c r="AB15" i="27"/>
  <c r="AG14" i="27"/>
  <c r="AF14" i="27"/>
  <c r="AB14" i="27"/>
  <c r="AF13" i="27"/>
  <c r="H13" i="27"/>
  <c r="AG13" i="27" s="1"/>
  <c r="AF12" i="27"/>
  <c r="H12" i="27"/>
  <c r="AB12" i="27" s="1"/>
  <c r="AG11" i="27"/>
  <c r="AF11" i="27"/>
  <c r="AB11" i="27"/>
  <c r="AG10" i="27"/>
  <c r="AF10" i="27"/>
  <c r="AB10" i="27"/>
  <c r="AF9" i="27"/>
  <c r="H9" i="27"/>
  <c r="AG9" i="27" s="1"/>
  <c r="AF8" i="27"/>
  <c r="F8" i="27"/>
  <c r="AG8" i="27" s="1"/>
  <c r="AF7" i="27"/>
  <c r="F7" i="27"/>
  <c r="AB7" i="27" s="1"/>
  <c r="AF6" i="27"/>
  <c r="F6" i="27"/>
  <c r="AG6" i="27" s="1"/>
  <c r="AG77" i="27" l="1"/>
  <c r="AG57" i="27"/>
  <c r="AG76" i="27"/>
  <c r="AH76" i="27" s="1"/>
  <c r="AG49" i="27"/>
  <c r="AH49" i="27" s="1"/>
  <c r="AB65" i="27"/>
  <c r="AH95" i="27"/>
  <c r="AG51" i="27"/>
  <c r="AH51" i="27" s="1"/>
  <c r="AB60" i="27"/>
  <c r="AG7" i="27"/>
  <c r="AH7" i="27" s="1"/>
  <c r="AG73" i="27"/>
  <c r="AH73" i="27" s="1"/>
  <c r="AH93" i="27"/>
  <c r="AB96" i="27"/>
  <c r="AH97" i="27"/>
  <c r="AH101" i="27"/>
  <c r="AH105" i="27"/>
  <c r="AH82" i="27"/>
  <c r="AH86" i="27"/>
  <c r="AH107" i="27"/>
  <c r="AB92" i="27"/>
  <c r="AB8" i="27"/>
  <c r="AH84" i="27"/>
  <c r="AH94" i="27"/>
  <c r="AH10" i="27"/>
  <c r="AB13" i="27"/>
  <c r="AH21" i="27"/>
  <c r="AH25" i="27"/>
  <c r="AH29" i="27"/>
  <c r="AG33" i="27"/>
  <c r="AH33" i="27" s="1"/>
  <c r="AH39" i="27"/>
  <c r="AH43" i="27"/>
  <c r="AB46" i="27"/>
  <c r="AB47" i="27"/>
  <c r="AH55" i="27"/>
  <c r="AH64" i="27"/>
  <c r="AH68" i="27"/>
  <c r="AH75" i="27"/>
  <c r="AH79" i="27"/>
  <c r="AH83" i="27"/>
  <c r="AH109" i="27"/>
  <c r="AH111" i="27"/>
  <c r="AH16" i="27"/>
  <c r="AB34" i="27"/>
  <c r="AH37" i="27"/>
  <c r="AH41" i="27"/>
  <c r="AH70" i="27"/>
  <c r="AH81" i="27"/>
  <c r="AH85" i="27"/>
  <c r="AH91" i="27"/>
  <c r="AH98" i="27"/>
  <c r="AH102" i="27"/>
  <c r="AB106" i="27"/>
  <c r="AH60" i="27"/>
  <c r="AH78" i="27"/>
  <c r="AH45" i="27"/>
  <c r="AH9" i="27"/>
  <c r="AH17" i="27"/>
  <c r="AH24" i="27"/>
  <c r="AH31" i="27"/>
  <c r="AH42" i="27"/>
  <c r="AH54" i="27"/>
  <c r="AH63" i="27"/>
  <c r="AH74" i="27"/>
  <c r="AH11" i="27"/>
  <c r="AH36" i="27"/>
  <c r="AH52" i="27"/>
  <c r="AH69" i="27"/>
  <c r="AH89" i="27"/>
  <c r="AH88" i="27"/>
  <c r="AH72" i="27"/>
  <c r="AH67" i="27"/>
  <c r="AH57" i="27"/>
  <c r="AH56" i="27"/>
  <c r="AH44" i="27"/>
  <c r="AH40" i="27"/>
  <c r="AH35" i="27"/>
  <c r="AF112" i="27"/>
  <c r="AG32" i="27"/>
  <c r="AH32" i="27" s="1"/>
  <c r="AH38" i="27"/>
  <c r="AB51" i="27"/>
  <c r="AH59" i="27"/>
  <c r="AG71" i="27"/>
  <c r="AH71" i="27" s="1"/>
  <c r="AG87" i="27"/>
  <c r="AH87" i="27" s="1"/>
  <c r="AG12" i="27"/>
  <c r="AH12" i="27" s="1"/>
  <c r="AB20" i="27"/>
  <c r="AH15" i="27"/>
  <c r="AH19" i="27"/>
  <c r="AH23" i="27"/>
  <c r="AH27" i="27"/>
  <c r="AB48" i="27"/>
  <c r="AH50" i="27"/>
  <c r="AH58" i="27"/>
  <c r="AH62" i="27"/>
  <c r="AH77" i="27"/>
  <c r="AH80" i="27"/>
  <c r="AG90" i="27"/>
  <c r="AH90" i="27" s="1"/>
  <c r="AG92" i="27"/>
  <c r="AH92" i="27" s="1"/>
  <c r="AH100" i="27"/>
  <c r="AH104" i="27"/>
  <c r="F112" i="27"/>
  <c r="AH14" i="27"/>
  <c r="AH18" i="27"/>
  <c r="AH30" i="27"/>
  <c r="AH61" i="27"/>
  <c r="AH66" i="27"/>
  <c r="AH99" i="27"/>
  <c r="AH103" i="27"/>
  <c r="AG106" i="27"/>
  <c r="AH106" i="27" s="1"/>
  <c r="AH20" i="27"/>
  <c r="AH13" i="27"/>
  <c r="AH65" i="27"/>
  <c r="AH28" i="27"/>
  <c r="AH22" i="27"/>
  <c r="AH26" i="27"/>
  <c r="AH8" i="27"/>
  <c r="AH34" i="27"/>
  <c r="AH47" i="27"/>
  <c r="AB31" i="27"/>
  <c r="AB35" i="27"/>
  <c r="AG46" i="27"/>
  <c r="AB67" i="27"/>
  <c r="AB77" i="27"/>
  <c r="AG96" i="27"/>
  <c r="AH96" i="27" s="1"/>
  <c r="H112" i="27"/>
  <c r="AG48" i="27"/>
  <c r="AH48" i="27" s="1"/>
  <c r="AH6" i="27"/>
  <c r="AB6" i="27"/>
  <c r="AB9" i="27"/>
  <c r="AH46" i="27" l="1"/>
  <c r="Z33" i="19" l="1"/>
  <c r="J33" i="19" l="1"/>
  <c r="AM111" i="19" l="1"/>
  <c r="C110" i="19"/>
  <c r="C113" i="19" s="1"/>
  <c r="Z75" i="19" l="1"/>
  <c r="AA110" i="19" l="1"/>
  <c r="AA113" i="19" s="1"/>
  <c r="AL108" i="19"/>
  <c r="AK108" i="19"/>
  <c r="AG108" i="19"/>
  <c r="AM108" i="19" l="1"/>
  <c r="Z20" i="19"/>
  <c r="Z57" i="19"/>
  <c r="Z26" i="19"/>
  <c r="Z48" i="19"/>
  <c r="Z71" i="19"/>
  <c r="Z21" i="19"/>
  <c r="Z38" i="19"/>
  <c r="Z76" i="19"/>
  <c r="Z80" i="19"/>
  <c r="Z36" i="19"/>
  <c r="Z24" i="19"/>
  <c r="Z58" i="19"/>
  <c r="Z60" i="19"/>
  <c r="Z9" i="19"/>
  <c r="Z8" i="19"/>
  <c r="Z10" i="19"/>
  <c r="Z1" i="18"/>
  <c r="Z44" i="19" l="1"/>
  <c r="Z29" i="19" l="1"/>
  <c r="Z96" i="19"/>
  <c r="Z99" i="19"/>
  <c r="Z105" i="19"/>
  <c r="Z72" i="19"/>
  <c r="Z28" i="19" l="1"/>
  <c r="Z43" i="19"/>
  <c r="Z22" i="19"/>
  <c r="Z110" i="19" l="1"/>
  <c r="Y110" i="19"/>
  <c r="Y113" i="19" s="1"/>
  <c r="X23" i="19" l="1"/>
  <c r="X12" i="19"/>
  <c r="X20" i="19"/>
  <c r="X9" i="19"/>
  <c r="X46" i="19"/>
  <c r="X7" i="19"/>
  <c r="X96" i="19"/>
  <c r="X36" i="19"/>
  <c r="X40" i="19"/>
  <c r="AL106" i="19" l="1"/>
  <c r="X101" i="19"/>
  <c r="X33" i="19"/>
  <c r="X10" i="19" l="1"/>
  <c r="X32" i="19"/>
  <c r="X92" i="19"/>
  <c r="X13" i="19"/>
  <c r="X87" i="19" l="1"/>
  <c r="X94" i="19"/>
  <c r="X29" i="19"/>
  <c r="X8" i="19" l="1"/>
  <c r="X26" i="19" l="1"/>
  <c r="X71" i="19" l="1"/>
  <c r="X75" i="19"/>
  <c r="X56" i="19" l="1"/>
  <c r="X110" i="19" s="1"/>
  <c r="W110" i="19" l="1"/>
  <c r="W113" i="19" s="1"/>
  <c r="V29" i="19" l="1"/>
  <c r="V44" i="19" l="1"/>
  <c r="V33" i="19"/>
  <c r="V71" i="19" l="1"/>
  <c r="V56" i="19"/>
  <c r="V22" i="19" l="1"/>
  <c r="V95" i="19"/>
  <c r="V38" i="19" l="1"/>
  <c r="V40" i="19"/>
  <c r="V57" i="19"/>
  <c r="V34" i="19"/>
  <c r="V53" i="19" l="1"/>
  <c r="V24" i="19"/>
  <c r="V87" i="19"/>
  <c r="V96" i="19"/>
  <c r="V46" i="19"/>
  <c r="V110" i="19" l="1"/>
  <c r="AK106" i="19"/>
  <c r="AM106" i="19" s="1"/>
  <c r="AG106" i="19"/>
  <c r="U110" i="19"/>
  <c r="U113" i="19" s="1"/>
  <c r="T36" i="19" l="1"/>
  <c r="T46" i="19"/>
  <c r="T110" i="19" l="1"/>
  <c r="S110" i="19"/>
  <c r="R76" i="19"/>
  <c r="R29" i="19" l="1"/>
  <c r="R47" i="19"/>
  <c r="R7" i="19"/>
  <c r="R31" i="19" l="1"/>
  <c r="R12" i="19"/>
  <c r="R23" i="19"/>
  <c r="R71" i="19"/>
  <c r="R38" i="19"/>
  <c r="R35" i="19"/>
  <c r="R13" i="19"/>
  <c r="R20" i="19"/>
  <c r="R10" i="19" l="1"/>
  <c r="R9" i="19"/>
  <c r="R80" i="19" l="1"/>
  <c r="R41" i="19" l="1"/>
  <c r="R56" i="19"/>
  <c r="R75" i="19"/>
  <c r="R22" i="19"/>
  <c r="R107" i="19"/>
  <c r="R92" i="19"/>
  <c r="R43" i="19" l="1"/>
  <c r="R8" i="19" l="1"/>
  <c r="R96" i="19"/>
  <c r="R32" i="19"/>
  <c r="R110" i="19" l="1"/>
  <c r="AK104" i="19"/>
  <c r="AK105" i="19"/>
  <c r="AL104" i="19"/>
  <c r="AL105" i="19"/>
  <c r="AG104" i="19"/>
  <c r="AG105" i="19"/>
  <c r="AM105" i="19" l="1"/>
  <c r="AM104" i="19"/>
  <c r="Q110" i="19"/>
  <c r="Q113" i="19" s="1"/>
  <c r="P77" i="19" l="1"/>
  <c r="P36" i="19"/>
  <c r="P6" i="19" l="1"/>
  <c r="P31" i="19" l="1"/>
  <c r="P58" i="19" l="1"/>
  <c r="P28" i="19"/>
  <c r="P60" i="19" l="1"/>
  <c r="P43" i="19"/>
  <c r="P56" i="19" l="1"/>
  <c r="P33" i="19"/>
  <c r="P110" i="19" s="1"/>
  <c r="AL107" i="19" l="1"/>
  <c r="AK102" i="19"/>
  <c r="AK103" i="19"/>
  <c r="AL102" i="19"/>
  <c r="AL103" i="19"/>
  <c r="O110" i="19"/>
  <c r="O113" i="19" s="1"/>
  <c r="AG103" i="19"/>
  <c r="AG102" i="19"/>
  <c r="AM102" i="19" l="1"/>
  <c r="AM103" i="19"/>
  <c r="N46" i="19"/>
  <c r="N71" i="19"/>
  <c r="N58" i="19"/>
  <c r="N10" i="19"/>
  <c r="N44" i="19"/>
  <c r="N35" i="19"/>
  <c r="N7" i="19" l="1"/>
  <c r="N28" i="19" l="1"/>
  <c r="N32" i="19"/>
  <c r="N36" i="19"/>
  <c r="N26" i="19"/>
  <c r="N110" i="19" l="1"/>
  <c r="AK107" i="19"/>
  <c r="AM107" i="19" s="1"/>
  <c r="AK109" i="19"/>
  <c r="M110" i="19" l="1"/>
  <c r="M113" i="19" s="1"/>
  <c r="AG107" i="19"/>
  <c r="L77" i="19" l="1"/>
  <c r="L7" i="19"/>
  <c r="L12" i="19"/>
  <c r="L94" i="19"/>
  <c r="L65" i="19"/>
  <c r="L24" i="19"/>
  <c r="L44" i="19"/>
  <c r="L56" i="19"/>
  <c r="L48" i="19"/>
  <c r="L10" i="19"/>
  <c r="L6" i="19"/>
  <c r="L23" i="19" l="1"/>
  <c r="L38" i="19"/>
  <c r="L35" i="19"/>
  <c r="L45" i="19"/>
  <c r="L20" i="19" l="1"/>
  <c r="L41" i="19"/>
  <c r="L28" i="19"/>
  <c r="L13" i="19"/>
  <c r="L29" i="19"/>
  <c r="L75" i="19"/>
  <c r="L49" i="19"/>
  <c r="L80" i="19"/>
  <c r="L59" i="19"/>
  <c r="L71" i="19"/>
  <c r="L9" i="19"/>
  <c r="L8" i="19" l="1"/>
  <c r="L95" i="19"/>
  <c r="L110" i="19" l="1"/>
  <c r="J7" i="19"/>
  <c r="J13" i="19"/>
  <c r="J58" i="19"/>
  <c r="J28" i="19"/>
  <c r="J80" i="19"/>
  <c r="J71" i="19"/>
  <c r="J26" i="19"/>
  <c r="AK101" i="19"/>
  <c r="AG101" i="19"/>
  <c r="AL98" i="19"/>
  <c r="AL99" i="19"/>
  <c r="AL100" i="19"/>
  <c r="AL101" i="19"/>
  <c r="AL109" i="19"/>
  <c r="AM109" i="19" s="1"/>
  <c r="AK99" i="19"/>
  <c r="AM99" i="19" s="1"/>
  <c r="AG99" i="19"/>
  <c r="AM101" i="19" l="1"/>
  <c r="K110" i="19"/>
  <c r="K113" i="19" s="1"/>
  <c r="J67" i="19" l="1"/>
  <c r="J9" i="19"/>
  <c r="J45" i="19"/>
  <c r="J48" i="19"/>
  <c r="J22" i="19"/>
  <c r="J36" i="19"/>
  <c r="J40" i="19" l="1"/>
  <c r="J34" i="19"/>
  <c r="J41" i="19"/>
  <c r="J76" i="19"/>
  <c r="J56" i="19"/>
  <c r="J97" i="19"/>
  <c r="J73" i="19"/>
  <c r="J92" i="19"/>
  <c r="J75" i="19"/>
  <c r="J46" i="19"/>
  <c r="J21" i="19" l="1"/>
  <c r="J95" i="19"/>
  <c r="J38" i="19"/>
  <c r="J31" i="19"/>
  <c r="J10" i="19"/>
  <c r="J24" i="19"/>
  <c r="J43" i="19"/>
  <c r="J35" i="19"/>
  <c r="J110" i="19" l="1"/>
  <c r="AG98" i="19"/>
  <c r="AG100" i="19"/>
  <c r="AK7" i="19"/>
  <c r="AK8" i="19"/>
  <c r="AK9"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4" i="19"/>
  <c r="AK35" i="19"/>
  <c r="AK36" i="19"/>
  <c r="AK37" i="19"/>
  <c r="AK38" i="19"/>
  <c r="AK39" i="19"/>
  <c r="AK40" i="19"/>
  <c r="AK41" i="19"/>
  <c r="AK42" i="19"/>
  <c r="AK43" i="19"/>
  <c r="AK44" i="19"/>
  <c r="AK45" i="19"/>
  <c r="AK46" i="19"/>
  <c r="AK47" i="19"/>
  <c r="AK48" i="19"/>
  <c r="AK49" i="19"/>
  <c r="AK50" i="19"/>
  <c r="AK51" i="19"/>
  <c r="AK52" i="19"/>
  <c r="AK54" i="19"/>
  <c r="AK55" i="19"/>
  <c r="AK56" i="19"/>
  <c r="AK57" i="19"/>
  <c r="AK58" i="19"/>
  <c r="AK59" i="19"/>
  <c r="AK60" i="19"/>
  <c r="AK61" i="19"/>
  <c r="AK62" i="19"/>
  <c r="AK63" i="19"/>
  <c r="AK64" i="19"/>
  <c r="AK65" i="19"/>
  <c r="AK66" i="19"/>
  <c r="AK67" i="19"/>
  <c r="AK68" i="19"/>
  <c r="AK69" i="19"/>
  <c r="AK70" i="19"/>
  <c r="AK71" i="19"/>
  <c r="AK72" i="19"/>
  <c r="AK73" i="19"/>
  <c r="AK74" i="19"/>
  <c r="AK75" i="19"/>
  <c r="AK76" i="19"/>
  <c r="AK77" i="19"/>
  <c r="AK78" i="19"/>
  <c r="AK79" i="19"/>
  <c r="AK80" i="19"/>
  <c r="AK81" i="19"/>
  <c r="AK82" i="19"/>
  <c r="AK83" i="19"/>
  <c r="AK84" i="19"/>
  <c r="AK85" i="19"/>
  <c r="AK86" i="19"/>
  <c r="AK87" i="19"/>
  <c r="AK88" i="19"/>
  <c r="AK89" i="19"/>
  <c r="AK90" i="19"/>
  <c r="AK91" i="19"/>
  <c r="AK92" i="19"/>
  <c r="AK93" i="19"/>
  <c r="AK94" i="19"/>
  <c r="AK95" i="19"/>
  <c r="AK96" i="19"/>
  <c r="AK97" i="19"/>
  <c r="AK98" i="19"/>
  <c r="AM98" i="19" s="1"/>
  <c r="AK100" i="19"/>
  <c r="AM100" i="19" s="1"/>
  <c r="F119" i="19"/>
  <c r="F118" i="19"/>
  <c r="I110" i="19"/>
  <c r="I113" i="19" s="1"/>
  <c r="H20" i="19" l="1"/>
  <c r="H57" i="19" l="1"/>
  <c r="H22" i="19"/>
  <c r="H34" i="19"/>
  <c r="H46" i="19"/>
  <c r="H49" i="19"/>
  <c r="H47" i="19"/>
  <c r="H80" i="19"/>
  <c r="AL80" i="19" s="1"/>
  <c r="AM80" i="19" s="1"/>
  <c r="H53" i="19"/>
  <c r="H48" i="19"/>
  <c r="H97" i="19"/>
  <c r="H75" i="19"/>
  <c r="H40" i="19" l="1"/>
  <c r="H26" i="19"/>
  <c r="H33" i="19"/>
  <c r="H58" i="19"/>
  <c r="H110" i="19" l="1"/>
  <c r="G110" i="19"/>
  <c r="G113" i="19" s="1"/>
  <c r="AG109" i="19" l="1"/>
  <c r="AG95" i="19"/>
  <c r="F49" i="19" l="1"/>
  <c r="F59" i="19"/>
  <c r="F45" i="19"/>
  <c r="F23" i="19"/>
  <c r="F110" i="19" s="1"/>
  <c r="D110" i="19" l="1"/>
  <c r="AG7" i="19"/>
  <c r="AG8" i="19"/>
  <c r="AG9" i="19"/>
  <c r="AG10" i="19"/>
  <c r="AG11" i="19"/>
  <c r="AG12" i="19"/>
  <c r="AG13" i="19"/>
  <c r="AG14" i="19"/>
  <c r="AG15" i="19"/>
  <c r="AG16" i="19"/>
  <c r="AG17" i="19"/>
  <c r="AG18" i="19"/>
  <c r="AG19" i="19"/>
  <c r="AG20" i="19"/>
  <c r="AG21" i="19"/>
  <c r="AG22" i="19"/>
  <c r="AG23" i="19"/>
  <c r="AG24" i="19"/>
  <c r="AG25" i="19"/>
  <c r="AG26" i="19"/>
  <c r="AG27" i="19"/>
  <c r="AG28" i="19"/>
  <c r="AG29" i="19"/>
  <c r="AG30" i="19"/>
  <c r="AG31" i="19"/>
  <c r="AG32" i="19"/>
  <c r="AG33" i="19"/>
  <c r="AG34" i="19"/>
  <c r="AG35" i="19"/>
  <c r="AG36" i="19"/>
  <c r="AG37" i="19"/>
  <c r="AG38" i="19"/>
  <c r="AG39" i="19"/>
  <c r="AG40" i="19"/>
  <c r="AG41" i="19"/>
  <c r="AG42" i="19"/>
  <c r="AG43" i="19"/>
  <c r="AG44" i="19"/>
  <c r="AG45" i="19"/>
  <c r="AG46" i="19"/>
  <c r="AG47" i="19"/>
  <c r="AG48" i="19"/>
  <c r="AG49" i="19"/>
  <c r="AG50" i="19"/>
  <c r="AG51" i="19"/>
  <c r="AG52" i="19"/>
  <c r="AG54" i="19"/>
  <c r="AG55" i="19"/>
  <c r="AG56" i="19"/>
  <c r="AG57" i="19"/>
  <c r="AG58" i="19"/>
  <c r="AG59" i="19"/>
  <c r="AG60" i="19"/>
  <c r="AG61" i="19"/>
  <c r="AG62" i="19"/>
  <c r="AG63" i="19"/>
  <c r="AG64" i="19"/>
  <c r="AG65" i="19"/>
  <c r="AG66" i="19"/>
  <c r="AG67" i="19"/>
  <c r="AG68" i="19"/>
  <c r="AG69" i="19"/>
  <c r="AG70" i="19"/>
  <c r="AG71" i="19"/>
  <c r="AG72" i="19"/>
  <c r="AG73" i="19"/>
  <c r="AG74" i="19"/>
  <c r="AG75" i="19"/>
  <c r="AG76" i="19"/>
  <c r="AG77" i="19"/>
  <c r="AG78" i="19"/>
  <c r="AG79" i="19"/>
  <c r="AG80" i="19"/>
  <c r="AG81" i="19"/>
  <c r="AG82" i="19"/>
  <c r="AG83" i="19"/>
  <c r="AG84" i="19"/>
  <c r="AG85" i="19"/>
  <c r="AG86" i="19"/>
  <c r="AG87" i="19"/>
  <c r="AG88" i="19"/>
  <c r="AG89" i="19"/>
  <c r="AG90" i="19"/>
  <c r="AG91" i="19"/>
  <c r="AG92" i="19"/>
  <c r="AG93" i="19"/>
  <c r="AG94" i="19"/>
  <c r="AG96" i="19"/>
  <c r="AG97" i="19"/>
  <c r="AG6" i="19"/>
  <c r="AL97" i="19" l="1"/>
  <c r="AM97" i="19" s="1"/>
  <c r="AL96" i="19"/>
  <c r="AM96" i="19" s="1"/>
  <c r="AL95" i="19"/>
  <c r="AM95" i="19" s="1"/>
  <c r="AL94" i="19"/>
  <c r="AM94" i="19" s="1"/>
  <c r="AL93" i="19"/>
  <c r="AM93" i="19" s="1"/>
  <c r="AL92" i="19"/>
  <c r="AM92" i="19" s="1"/>
  <c r="AL91" i="19"/>
  <c r="AM91" i="19" s="1"/>
  <c r="AL90" i="19"/>
  <c r="AM90" i="19" s="1"/>
  <c r="AL89" i="19"/>
  <c r="AM89" i="19" s="1"/>
  <c r="AL88" i="19"/>
  <c r="AM88" i="19" s="1"/>
  <c r="AL87" i="19"/>
  <c r="AM87" i="19" s="1"/>
  <c r="AL86" i="19"/>
  <c r="AM86" i="19" s="1"/>
  <c r="AL85" i="19"/>
  <c r="AM85" i="19" s="1"/>
  <c r="AL84" i="19"/>
  <c r="AM84" i="19" s="1"/>
  <c r="AL83" i="19"/>
  <c r="AM83" i="19" s="1"/>
  <c r="AL82" i="19"/>
  <c r="AM82" i="19" s="1"/>
  <c r="AL81" i="19"/>
  <c r="AM81" i="19" s="1"/>
  <c r="AL79" i="19"/>
  <c r="AM79" i="19" s="1"/>
  <c r="AL78" i="19"/>
  <c r="AM78" i="19" s="1"/>
  <c r="AL77" i="19"/>
  <c r="AM77" i="19" s="1"/>
  <c r="AL76" i="19"/>
  <c r="AM76" i="19" s="1"/>
  <c r="AL74" i="19"/>
  <c r="AM74" i="19" s="1"/>
  <c r="AL73" i="19"/>
  <c r="AM73" i="19" s="1"/>
  <c r="AL72" i="19"/>
  <c r="AM72" i="19" s="1"/>
  <c r="AL71" i="19"/>
  <c r="AM71" i="19" s="1"/>
  <c r="AL70" i="19"/>
  <c r="AM70" i="19" s="1"/>
  <c r="AL68" i="19"/>
  <c r="AM68" i="19" s="1"/>
  <c r="AL66" i="19"/>
  <c r="AM66" i="19" s="1"/>
  <c r="AL64" i="19"/>
  <c r="AM64" i="19" s="1"/>
  <c r="AL62" i="19"/>
  <c r="AM62" i="19" s="1"/>
  <c r="AL61" i="19"/>
  <c r="AM61" i="19" s="1"/>
  <c r="AL59" i="19"/>
  <c r="AM59" i="19" s="1"/>
  <c r="AL58" i="19"/>
  <c r="AM58" i="19" s="1"/>
  <c r="AL57" i="19"/>
  <c r="AM57" i="19" s="1"/>
  <c r="AL56" i="19"/>
  <c r="AM56" i="19" s="1"/>
  <c r="AL55" i="19"/>
  <c r="AM55" i="19" s="1"/>
  <c r="AL54" i="19"/>
  <c r="AM54" i="19" s="1"/>
  <c r="AL53" i="19"/>
  <c r="AL52" i="19"/>
  <c r="AM52" i="19" s="1"/>
  <c r="AL50" i="19"/>
  <c r="AM50" i="19" s="1"/>
  <c r="AL49" i="19"/>
  <c r="AM49" i="19" s="1"/>
  <c r="AL45" i="19"/>
  <c r="AM45" i="19" s="1"/>
  <c r="AL44" i="19"/>
  <c r="AM44" i="19" s="1"/>
  <c r="AL43" i="19"/>
  <c r="AM43" i="19" s="1"/>
  <c r="AL42" i="19"/>
  <c r="AM42" i="19" s="1"/>
  <c r="AL41" i="19"/>
  <c r="AM41" i="19" s="1"/>
  <c r="AL40" i="19"/>
  <c r="AM40" i="19" s="1"/>
  <c r="AL39" i="19"/>
  <c r="AM39" i="19" s="1"/>
  <c r="AL38" i="19"/>
  <c r="AM38" i="19" s="1"/>
  <c r="AL37" i="19"/>
  <c r="AM37" i="19" s="1"/>
  <c r="AL36" i="19"/>
  <c r="AM36" i="19" s="1"/>
  <c r="AL35" i="19"/>
  <c r="AM35" i="19" s="1"/>
  <c r="AL32" i="19"/>
  <c r="AM32" i="19" s="1"/>
  <c r="AL30" i="19"/>
  <c r="AM30" i="19" s="1"/>
  <c r="AL27" i="19"/>
  <c r="AM27" i="19" s="1"/>
  <c r="AL25" i="19"/>
  <c r="AM25" i="19" s="1"/>
  <c r="AL24" i="19"/>
  <c r="AM24" i="19" s="1"/>
  <c r="AL23" i="19"/>
  <c r="AM23" i="19" s="1"/>
  <c r="AL22" i="19"/>
  <c r="AM22" i="19" s="1"/>
  <c r="AL21" i="19"/>
  <c r="AM21" i="19" s="1"/>
  <c r="AL19" i="19"/>
  <c r="AM19" i="19" s="1"/>
  <c r="AL18" i="19"/>
  <c r="AM18" i="19" s="1"/>
  <c r="AL17" i="19"/>
  <c r="AM17" i="19" s="1"/>
  <c r="AL16" i="19"/>
  <c r="AM16" i="19" s="1"/>
  <c r="AL15" i="19"/>
  <c r="AM15" i="19" s="1"/>
  <c r="AL14" i="19"/>
  <c r="AM14" i="19" s="1"/>
  <c r="AL13" i="19"/>
  <c r="AM13" i="19" s="1"/>
  <c r="AL12" i="19"/>
  <c r="AM12" i="19" s="1"/>
  <c r="AL11" i="19"/>
  <c r="AM11" i="19" s="1"/>
  <c r="AL10" i="19"/>
  <c r="AM10" i="19" s="1"/>
  <c r="AL8" i="19"/>
  <c r="AM8" i="19" s="1"/>
  <c r="AL7" i="19"/>
  <c r="AM7" i="19" s="1"/>
  <c r="AK6" i="19"/>
  <c r="AL6" i="19"/>
  <c r="AM6" i="19" l="1"/>
  <c r="AL9" i="19"/>
  <c r="AM9" i="19" s="1"/>
  <c r="AL29" i="19"/>
  <c r="AM29" i="19" s="1"/>
  <c r="AL31" i="19"/>
  <c r="AM31" i="19" s="1"/>
  <c r="AL34" i="19"/>
  <c r="AM34" i="19" s="1"/>
  <c r="AL75" i="19"/>
  <c r="AM75" i="19" s="1"/>
  <c r="AL20" i="19"/>
  <c r="AM20" i="19" s="1"/>
  <c r="AL26" i="19"/>
  <c r="AM26" i="19" s="1"/>
  <c r="AL28" i="19"/>
  <c r="AM28" i="19" s="1"/>
  <c r="AL33" i="19"/>
  <c r="AM33" i="19" s="1"/>
  <c r="AL46" i="19"/>
  <c r="AM46" i="19" s="1"/>
  <c r="AL47" i="19"/>
  <c r="AM47" i="19" s="1"/>
  <c r="AL48" i="19"/>
  <c r="AM48" i="19" s="1"/>
  <c r="AL51" i="19"/>
  <c r="AM51" i="19" s="1"/>
  <c r="AL60" i="19"/>
  <c r="AM60" i="19" s="1"/>
  <c r="AL63" i="19"/>
  <c r="AM63" i="19" s="1"/>
  <c r="AL65" i="19"/>
  <c r="AM65" i="19" s="1"/>
  <c r="AL67" i="19"/>
  <c r="AM67" i="19" s="1"/>
  <c r="AL69" i="19"/>
  <c r="AM69" i="19" s="1"/>
  <c r="J31" i="18"/>
  <c r="J33" i="18"/>
  <c r="AL110" i="19" l="1"/>
  <c r="AG11" i="18"/>
  <c r="AG14" i="18"/>
  <c r="AG15" i="18"/>
  <c r="AG16" i="18"/>
  <c r="AG17" i="18"/>
  <c r="AG18" i="18"/>
  <c r="AG25" i="18"/>
  <c r="AG27" i="18"/>
  <c r="AG30" i="18"/>
  <c r="AG37" i="18"/>
  <c r="AG39" i="18"/>
  <c r="AG42" i="18"/>
  <c r="AG50" i="18"/>
  <c r="AG52" i="18"/>
  <c r="AG54" i="18"/>
  <c r="AG55" i="18"/>
  <c r="AG61" i="18"/>
  <c r="AG62" i="18"/>
  <c r="AG64" i="18"/>
  <c r="AG66" i="18"/>
  <c r="AG68" i="18"/>
  <c r="AG70" i="18"/>
  <c r="AG72" i="18"/>
  <c r="AG74" i="18"/>
  <c r="AG78" i="18"/>
  <c r="AG79" i="18"/>
  <c r="AG81" i="18"/>
  <c r="AG82" i="18"/>
  <c r="AG83" i="18"/>
  <c r="AG84" i="18"/>
  <c r="AG86" i="18"/>
  <c r="AG87" i="18"/>
  <c r="AG88" i="18"/>
  <c r="AG89" i="18"/>
  <c r="AG90" i="18"/>
  <c r="AG91" i="18"/>
  <c r="AG93" i="18"/>
  <c r="AG94" i="18"/>
  <c r="AG95" i="18"/>
  <c r="AG97" i="18"/>
  <c r="AG98" i="18"/>
  <c r="AF7" i="18"/>
  <c r="AF8" i="18"/>
  <c r="AF9" i="18"/>
  <c r="AF10" i="18"/>
  <c r="AF11" i="18"/>
  <c r="AF12" i="18"/>
  <c r="AF13"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F42" i="18"/>
  <c r="AF43" i="18"/>
  <c r="AF44" i="18"/>
  <c r="AF45" i="18"/>
  <c r="AF46" i="18"/>
  <c r="AF47" i="18"/>
  <c r="AF48" i="18"/>
  <c r="AF49" i="18"/>
  <c r="AF50" i="18"/>
  <c r="AF51" i="18"/>
  <c r="AF52" i="18"/>
  <c r="AF53" i="18"/>
  <c r="AF54" i="18"/>
  <c r="AF55" i="18"/>
  <c r="AF56" i="18"/>
  <c r="AF57" i="18"/>
  <c r="AF58" i="18"/>
  <c r="AF59" i="18"/>
  <c r="AF60" i="18"/>
  <c r="AF61" i="18"/>
  <c r="AF62" i="18"/>
  <c r="AF63" i="18"/>
  <c r="AF64" i="18"/>
  <c r="AF65" i="18"/>
  <c r="AF66" i="18"/>
  <c r="AF67" i="18"/>
  <c r="AF68" i="18"/>
  <c r="AF69" i="18"/>
  <c r="AF70" i="18"/>
  <c r="AF71" i="18"/>
  <c r="AF72" i="18"/>
  <c r="AF73" i="18"/>
  <c r="AF74" i="18"/>
  <c r="AF75" i="18"/>
  <c r="AF76" i="18"/>
  <c r="AF77" i="18"/>
  <c r="AF78" i="18"/>
  <c r="AF79" i="18"/>
  <c r="AF80" i="18"/>
  <c r="AF81" i="18"/>
  <c r="AF82" i="18"/>
  <c r="AF83" i="18"/>
  <c r="AF84" i="18"/>
  <c r="AF85" i="18"/>
  <c r="AF86" i="18"/>
  <c r="AF87" i="18"/>
  <c r="AF88" i="18"/>
  <c r="AF89" i="18"/>
  <c r="AF90" i="18"/>
  <c r="AF91" i="18"/>
  <c r="AF92" i="18"/>
  <c r="AF93" i="18"/>
  <c r="AF94" i="18"/>
  <c r="AF95" i="18"/>
  <c r="AF96" i="18"/>
  <c r="AF97" i="18"/>
  <c r="AF98" i="18"/>
  <c r="Z33" i="18"/>
  <c r="AC11" i="18" l="1"/>
  <c r="AC14" i="18"/>
  <c r="AC16" i="18"/>
  <c r="AC17" i="18"/>
  <c r="AC18" i="18"/>
  <c r="AC25" i="18"/>
  <c r="AC27" i="18"/>
  <c r="AC30" i="18"/>
  <c r="AC37" i="18"/>
  <c r="AC39" i="18"/>
  <c r="AC42" i="18"/>
  <c r="AC50" i="18"/>
  <c r="AC52" i="18"/>
  <c r="AC54" i="18"/>
  <c r="AC55" i="18"/>
  <c r="AC61" i="18"/>
  <c r="AC62" i="18"/>
  <c r="AC64" i="18"/>
  <c r="AC66" i="18"/>
  <c r="AC68" i="18"/>
  <c r="AC70" i="18"/>
  <c r="AC72" i="18"/>
  <c r="AC74" i="18"/>
  <c r="AC78" i="18"/>
  <c r="AC79" i="18"/>
  <c r="AC81" i="18"/>
  <c r="AC82" i="18"/>
  <c r="AC83" i="18"/>
  <c r="AC84" i="18"/>
  <c r="AC86" i="18"/>
  <c r="AC87" i="18"/>
  <c r="AC88" i="18"/>
  <c r="AC89" i="18"/>
  <c r="AC90" i="18"/>
  <c r="AC91" i="18"/>
  <c r="AC93" i="18"/>
  <c r="AC94" i="18"/>
  <c r="AC95" i="18"/>
  <c r="AC97" i="18"/>
  <c r="AC98" i="18"/>
  <c r="Z26" i="18" l="1"/>
  <c r="Z28" i="18"/>
  <c r="Z7" i="18"/>
  <c r="Z13" i="18"/>
  <c r="Z8" i="18"/>
  <c r="Z45" i="18" l="1"/>
  <c r="Z44" i="18"/>
  <c r="Z24" i="18"/>
  <c r="Z22" i="18"/>
  <c r="Z76" i="18" l="1"/>
  <c r="Z46" i="18"/>
  <c r="Z36" i="18"/>
  <c r="Z19" i="18"/>
  <c r="Z43" i="18"/>
  <c r="Z6" i="18" l="1"/>
  <c r="Z35" i="18"/>
  <c r="Z20" i="18"/>
  <c r="Z75" i="18"/>
  <c r="Z77" i="18"/>
  <c r="Z73" i="18"/>
  <c r="Z60" i="18"/>
  <c r="Z31" i="18"/>
  <c r="Z99" i="18" l="1"/>
  <c r="AH89" i="18"/>
  <c r="AH90" i="18"/>
  <c r="Y99" i="18"/>
  <c r="X67" i="18" l="1"/>
  <c r="X13" i="18"/>
  <c r="X7" i="18"/>
  <c r="X36" i="18"/>
  <c r="X96" i="18"/>
  <c r="X56" i="18"/>
  <c r="X45" i="18"/>
  <c r="X28" i="18"/>
  <c r="X92" i="18" l="1"/>
  <c r="X32" i="18"/>
  <c r="X75" i="18"/>
  <c r="X24" i="18"/>
  <c r="X34" i="18"/>
  <c r="X10" i="18" l="1"/>
  <c r="X53" i="18" l="1"/>
  <c r="X19" i="18"/>
  <c r="X22" i="18"/>
  <c r="X99" i="18" l="1"/>
  <c r="W99" i="18"/>
  <c r="W102" i="18" s="1"/>
  <c r="V32" i="18" l="1"/>
  <c r="V43" i="18"/>
  <c r="V77" i="18"/>
  <c r="V19" i="18"/>
  <c r="V36" i="18"/>
  <c r="V96" i="18"/>
  <c r="V6" i="18" l="1"/>
  <c r="V58" i="18"/>
  <c r="V92" i="18"/>
  <c r="V80" i="18"/>
  <c r="V40" i="18"/>
  <c r="V26" i="18"/>
  <c r="V24" i="18"/>
  <c r="V7" i="18"/>
  <c r="V31" i="18"/>
  <c r="V41" i="18"/>
  <c r="V21" i="18"/>
  <c r="V75" i="18"/>
  <c r="V29" i="18" l="1"/>
  <c r="V47" i="18"/>
  <c r="V46" i="18"/>
  <c r="V23" i="18"/>
  <c r="V35" i="18" l="1"/>
  <c r="V99" i="18" s="1"/>
  <c r="V101" i="18" s="1"/>
  <c r="T31" i="18" l="1"/>
  <c r="AH97" i="18" l="1"/>
  <c r="U99" i="18" l="1"/>
  <c r="T8" i="18"/>
  <c r="U102" i="18" l="1"/>
  <c r="T26" i="18" l="1"/>
  <c r="T76" i="18"/>
  <c r="T57" i="18"/>
  <c r="T22" i="18"/>
  <c r="T12" i="18"/>
  <c r="T7" i="18"/>
  <c r="T75" i="18"/>
  <c r="T92" i="18"/>
  <c r="T60" i="18"/>
  <c r="AC60" i="18" l="1"/>
  <c r="AG60" i="18"/>
  <c r="T10" i="18"/>
  <c r="T34" i="18"/>
  <c r="T51" i="18"/>
  <c r="T73" i="18"/>
  <c r="T47" i="18"/>
  <c r="T65" i="18"/>
  <c r="T45" i="18"/>
  <c r="T40" i="18"/>
  <c r="T24" i="18"/>
  <c r="T77" i="18"/>
  <c r="T48" i="18"/>
  <c r="T19" i="18"/>
  <c r="T21" i="18" l="1"/>
  <c r="T71" i="18" l="1"/>
  <c r="T99" i="18" s="1"/>
  <c r="AB40" i="18" l="1"/>
  <c r="R96" i="18" l="1"/>
  <c r="AC96" i="18" l="1"/>
  <c r="AG96" i="18"/>
  <c r="R7" i="18"/>
  <c r="R29" i="18" l="1"/>
  <c r="R58" i="18"/>
  <c r="R46" i="18"/>
  <c r="R71" i="18"/>
  <c r="R49" i="18"/>
  <c r="R28" i="18"/>
  <c r="R43" i="18"/>
  <c r="S99" i="18"/>
  <c r="S102" i="18" s="1"/>
  <c r="AC43" i="18" l="1"/>
  <c r="AG43" i="18"/>
  <c r="R32" i="18"/>
  <c r="R40" i="18"/>
  <c r="R9" i="18"/>
  <c r="R19" i="18" l="1"/>
  <c r="R35" i="18"/>
  <c r="R77" i="18"/>
  <c r="R23" i="18"/>
  <c r="R34" i="18"/>
  <c r="R99" i="18" l="1"/>
  <c r="P19" i="18"/>
  <c r="P22" i="18"/>
  <c r="Q99" i="18" l="1"/>
  <c r="Q102" i="18" s="1"/>
  <c r="P33" i="18" l="1"/>
  <c r="P28" i="18" l="1"/>
  <c r="P45" i="18"/>
  <c r="P6" i="18"/>
  <c r="P73" i="18"/>
  <c r="P29" i="18"/>
  <c r="P10" i="18"/>
  <c r="P41" i="18"/>
  <c r="P46" i="18"/>
  <c r="P35" i="18"/>
  <c r="P58" i="18" l="1"/>
  <c r="P71" i="18"/>
  <c r="P59" i="18" l="1"/>
  <c r="AC59" i="18" l="1"/>
  <c r="AG59" i="18"/>
  <c r="P44" i="18"/>
  <c r="P77" i="18"/>
  <c r="P38" i="18"/>
  <c r="P92" i="18"/>
  <c r="P47" i="18"/>
  <c r="AC47" i="18" l="1"/>
  <c r="AG47" i="18"/>
  <c r="P36" i="18"/>
  <c r="P23" i="18"/>
  <c r="P99" i="18" s="1"/>
  <c r="B6" i="18" l="1"/>
  <c r="O6" i="18"/>
  <c r="AF6" i="18" s="1"/>
  <c r="AF99" i="18" s="1"/>
  <c r="B15" i="18"/>
  <c r="AC15" i="18" s="1"/>
  <c r="B99" i="18" l="1"/>
  <c r="AH96" i="18"/>
  <c r="O99" i="18" l="1"/>
  <c r="AF106" i="10" l="1"/>
  <c r="AF107" i="10"/>
  <c r="AF108" i="10"/>
  <c r="AF109" i="10"/>
  <c r="AF110" i="10"/>
  <c r="AG106" i="10"/>
  <c r="AH106" i="10" s="1"/>
  <c r="AG107" i="10"/>
  <c r="AH107" i="10" s="1"/>
  <c r="AG108" i="10"/>
  <c r="AH108" i="10" s="1"/>
  <c r="AG109" i="10"/>
  <c r="AE111" i="10"/>
  <c r="AG9" i="10"/>
  <c r="AG12" i="10"/>
  <c r="AG15" i="10"/>
  <c r="AG16" i="10"/>
  <c r="AG23" i="10"/>
  <c r="AG25" i="10"/>
  <c r="AG26" i="10"/>
  <c r="AG29" i="10"/>
  <c r="AG31" i="10"/>
  <c r="AG37" i="10"/>
  <c r="AG38" i="10"/>
  <c r="AG40" i="10"/>
  <c r="AG41" i="10"/>
  <c r="AG43" i="10"/>
  <c r="AG44" i="10"/>
  <c r="AG47" i="10"/>
  <c r="AG51" i="10"/>
  <c r="AG53" i="10"/>
  <c r="AG57" i="10"/>
  <c r="AG58" i="10"/>
  <c r="AG62" i="10"/>
  <c r="AG63" i="10"/>
  <c r="AG65" i="10"/>
  <c r="AG66" i="10"/>
  <c r="AG68" i="10"/>
  <c r="AG69" i="10"/>
  <c r="AG70" i="10"/>
  <c r="AG72" i="10"/>
  <c r="AG73" i="10"/>
  <c r="AG74" i="10"/>
  <c r="AG76" i="10"/>
  <c r="AG77" i="10"/>
  <c r="AG78" i="10"/>
  <c r="AG79" i="10"/>
  <c r="AG80" i="10"/>
  <c r="AG81" i="10"/>
  <c r="AG82" i="10"/>
  <c r="AG83" i="10"/>
  <c r="AG85" i="10"/>
  <c r="AG87" i="10"/>
  <c r="AG88" i="10"/>
  <c r="AG89" i="10"/>
  <c r="AG90" i="10"/>
  <c r="AG91" i="10"/>
  <c r="AG92" i="10"/>
  <c r="AG93" i="10"/>
  <c r="AG97" i="10"/>
  <c r="AG99" i="10"/>
  <c r="AG102" i="10"/>
  <c r="AG103" i="10"/>
  <c r="AG105" i="10"/>
  <c r="AF7" i="10"/>
  <c r="AF8" i="10"/>
  <c r="AF9" i="10"/>
  <c r="AH9" i="10" s="1"/>
  <c r="AF10" i="10"/>
  <c r="AF12" i="10"/>
  <c r="AF13" i="10"/>
  <c r="AF14" i="10"/>
  <c r="AF15" i="10"/>
  <c r="AH15" i="10" s="1"/>
  <c r="AF16" i="10"/>
  <c r="AH16" i="10" s="1"/>
  <c r="AF17" i="10"/>
  <c r="AF18" i="10"/>
  <c r="AF19" i="10"/>
  <c r="AF20" i="10"/>
  <c r="AF21" i="10"/>
  <c r="AF22" i="10"/>
  <c r="AF23" i="10"/>
  <c r="AH23" i="10" s="1"/>
  <c r="AF24" i="10"/>
  <c r="AF25" i="10"/>
  <c r="AF26" i="10"/>
  <c r="AH26" i="10" s="1"/>
  <c r="AF27" i="10"/>
  <c r="AF28" i="10"/>
  <c r="AF29" i="10"/>
  <c r="AH29" i="10" s="1"/>
  <c r="AF30" i="10"/>
  <c r="AF31" i="10"/>
  <c r="AH31" i="10" s="1"/>
  <c r="AF32" i="10"/>
  <c r="AF33" i="10"/>
  <c r="AF34" i="10"/>
  <c r="AF35" i="10"/>
  <c r="AF36" i="10"/>
  <c r="AF37" i="10"/>
  <c r="AF38" i="10"/>
  <c r="AH38" i="10" s="1"/>
  <c r="AF39" i="10"/>
  <c r="AF40" i="10"/>
  <c r="AH40" i="10" s="1"/>
  <c r="AF41" i="10"/>
  <c r="AH41" i="10" s="1"/>
  <c r="AF42" i="10"/>
  <c r="AF43" i="10"/>
  <c r="AF44" i="10"/>
  <c r="AH44" i="10" s="1"/>
  <c r="AF45" i="10"/>
  <c r="AF46" i="10"/>
  <c r="AF47" i="10"/>
  <c r="AH47" i="10" s="1"/>
  <c r="AF48" i="10"/>
  <c r="AF49" i="10"/>
  <c r="AF50" i="10"/>
  <c r="AF51" i="10"/>
  <c r="AH51" i="10" s="1"/>
  <c r="AF52" i="10"/>
  <c r="AF53" i="10"/>
  <c r="AF54" i="10"/>
  <c r="AF55" i="10"/>
  <c r="AF56" i="10"/>
  <c r="AF57" i="10"/>
  <c r="AH57" i="10" s="1"/>
  <c r="AF58" i="10"/>
  <c r="AH58" i="10" s="1"/>
  <c r="AF59" i="10"/>
  <c r="AF60" i="10"/>
  <c r="AF61" i="10"/>
  <c r="AF62" i="10"/>
  <c r="AH62" i="10" s="1"/>
  <c r="AF63" i="10"/>
  <c r="AH63" i="10" s="1"/>
  <c r="AF64" i="10"/>
  <c r="AF65" i="10"/>
  <c r="AH65" i="10" s="1"/>
  <c r="AF66" i="10"/>
  <c r="AH66" i="10" s="1"/>
  <c r="AF67" i="10"/>
  <c r="AF68" i="10"/>
  <c r="AH68" i="10" s="1"/>
  <c r="AF69" i="10"/>
  <c r="AF70" i="10"/>
  <c r="AH70" i="10" s="1"/>
  <c r="AF71" i="10"/>
  <c r="AF72" i="10"/>
  <c r="AH72" i="10" s="1"/>
  <c r="AF73" i="10"/>
  <c r="AH73" i="10" s="1"/>
  <c r="AF74" i="10"/>
  <c r="AH74" i="10" s="1"/>
  <c r="AF75" i="10"/>
  <c r="AF76" i="10"/>
  <c r="AH76" i="10" s="1"/>
  <c r="AF77" i="10"/>
  <c r="AH77" i="10" s="1"/>
  <c r="AF78" i="10"/>
  <c r="AH78" i="10" s="1"/>
  <c r="AF79" i="10"/>
  <c r="AH79" i="10" s="1"/>
  <c r="AF80" i="10"/>
  <c r="AH80" i="10" s="1"/>
  <c r="AF81" i="10"/>
  <c r="AH81" i="10" s="1"/>
  <c r="AF82" i="10"/>
  <c r="AH82" i="10" s="1"/>
  <c r="AF83" i="10"/>
  <c r="AH83" i="10" s="1"/>
  <c r="AF84" i="10"/>
  <c r="AF85" i="10"/>
  <c r="AH85" i="10" s="1"/>
  <c r="AF86" i="10"/>
  <c r="AF87" i="10"/>
  <c r="AH87" i="10" s="1"/>
  <c r="AF88" i="10"/>
  <c r="AH88" i="10" s="1"/>
  <c r="AF89" i="10"/>
  <c r="AF90" i="10"/>
  <c r="AH90" i="10" s="1"/>
  <c r="AF91" i="10"/>
  <c r="AH91" i="10" s="1"/>
  <c r="AF92" i="10"/>
  <c r="AH92" i="10" s="1"/>
  <c r="AF93" i="10"/>
  <c r="AF94" i="10"/>
  <c r="AF95" i="10"/>
  <c r="AF96" i="10"/>
  <c r="AF97" i="10"/>
  <c r="AH97" i="10" s="1"/>
  <c r="AF98" i="10"/>
  <c r="AF99" i="10"/>
  <c r="AH99" i="10" s="1"/>
  <c r="AF100" i="10"/>
  <c r="AF101" i="10"/>
  <c r="AF102" i="10"/>
  <c r="AH102" i="10" s="1"/>
  <c r="AF103" i="10"/>
  <c r="AH103" i="10" s="1"/>
  <c r="AF104" i="10"/>
  <c r="AF105" i="10"/>
  <c r="AH105" i="10" s="1"/>
  <c r="AF6" i="10"/>
  <c r="AH93" i="10" l="1"/>
  <c r="AH89" i="10"/>
  <c r="AH69" i="10"/>
  <c r="AH53" i="10"/>
  <c r="AH37" i="10"/>
  <c r="AH25" i="10"/>
  <c r="AH12" i="10"/>
  <c r="AH43" i="10"/>
  <c r="AH109" i="10"/>
  <c r="L31" i="18" l="1"/>
  <c r="M99" i="18" l="1"/>
  <c r="M102" i="18" s="1"/>
  <c r="L49" i="18"/>
  <c r="L35" i="18"/>
  <c r="L19" i="18"/>
  <c r="L56" i="18"/>
  <c r="L71" i="18"/>
  <c r="AH95" i="18" l="1"/>
  <c r="L10" i="18"/>
  <c r="L12" i="18"/>
  <c r="L51" i="18"/>
  <c r="L76" i="18"/>
  <c r="L28" i="18"/>
  <c r="L40" i="18"/>
  <c r="L45" i="18"/>
  <c r="L13" i="18"/>
  <c r="L44" i="18"/>
  <c r="L80" i="18"/>
  <c r="L34" i="18"/>
  <c r="AC80" i="18" l="1"/>
  <c r="AG80" i="18"/>
  <c r="L75" i="18"/>
  <c r="L53" i="18"/>
  <c r="L48" i="18"/>
  <c r="L9" i="18"/>
  <c r="L77" i="18" l="1"/>
  <c r="AH93" i="18" l="1"/>
  <c r="J35" i="18" l="1"/>
  <c r="J51" i="18"/>
  <c r="J48" i="18"/>
  <c r="J38" i="18"/>
  <c r="J9" i="18"/>
  <c r="J7" i="18"/>
  <c r="J76" i="18"/>
  <c r="J71" i="18"/>
  <c r="AC38" i="18" l="1"/>
  <c r="AG38" i="18"/>
  <c r="AC48" i="18"/>
  <c r="AG48" i="18"/>
  <c r="AC9" i="18"/>
  <c r="AG9" i="18"/>
  <c r="J44" i="18"/>
  <c r="J8" i="18"/>
  <c r="J92" i="18"/>
  <c r="J22" i="18"/>
  <c r="J26" i="18"/>
  <c r="J75" i="18"/>
  <c r="J69" i="18"/>
  <c r="AC33" i="18" l="1"/>
  <c r="AG33" i="18"/>
  <c r="AC22" i="18"/>
  <c r="AG22" i="18"/>
  <c r="AC92" i="18"/>
  <c r="AG92" i="18"/>
  <c r="J67" i="18"/>
  <c r="J58" i="18"/>
  <c r="J73" i="18"/>
  <c r="J77" i="18"/>
  <c r="J41" i="18"/>
  <c r="J23" i="18"/>
  <c r="J12" i="18"/>
  <c r="AC67" i="18" l="1"/>
  <c r="AG67" i="18"/>
  <c r="AC12" i="18"/>
  <c r="AG12" i="18"/>
  <c r="J20" i="18"/>
  <c r="J53" i="18"/>
  <c r="J28" i="18"/>
  <c r="AC28" i="18" l="1"/>
  <c r="AG28" i="18"/>
  <c r="I99" i="18"/>
  <c r="I102" i="18" s="1"/>
  <c r="H69" i="18" l="1"/>
  <c r="AC69" i="18" l="1"/>
  <c r="AG69" i="18"/>
  <c r="H7" i="18"/>
  <c r="H35" i="18"/>
  <c r="H85" i="18"/>
  <c r="H75" i="18"/>
  <c r="H40" i="18"/>
  <c r="H36" i="18"/>
  <c r="H19" i="18"/>
  <c r="H51" i="18"/>
  <c r="H13" i="18"/>
  <c r="H71" i="18"/>
  <c r="H8" i="18"/>
  <c r="H58" i="18"/>
  <c r="AC36" i="18" l="1"/>
  <c r="AG36" i="18"/>
  <c r="AC58" i="18"/>
  <c r="AG58" i="18"/>
  <c r="AC19" i="18"/>
  <c r="AG19" i="18"/>
  <c r="AC85" i="18"/>
  <c r="AG85" i="18"/>
  <c r="H32" i="18"/>
  <c r="H34" i="18"/>
  <c r="H56" i="18"/>
  <c r="H46" i="18"/>
  <c r="H6" i="18"/>
  <c r="H65" i="18"/>
  <c r="H23" i="18"/>
  <c r="H24" i="18"/>
  <c r="H21" i="18"/>
  <c r="H31" i="18"/>
  <c r="H26" i="18"/>
  <c r="H29" i="18"/>
  <c r="AC46" i="18" l="1"/>
  <c r="AG46" i="18"/>
  <c r="AC31" i="18"/>
  <c r="AG31" i="18"/>
  <c r="AC65" i="18"/>
  <c r="AG65" i="18"/>
  <c r="AC26" i="18"/>
  <c r="AG26" i="18"/>
  <c r="AC6" i="18"/>
  <c r="AG6" i="18"/>
  <c r="AC32" i="18"/>
  <c r="AG32" i="18"/>
  <c r="H99" i="18"/>
  <c r="AH98" i="18"/>
  <c r="G99" i="18"/>
  <c r="G102" i="18" s="1"/>
  <c r="F49" i="18" l="1"/>
  <c r="F7" i="18"/>
  <c r="F20" i="18"/>
  <c r="F63" i="18"/>
  <c r="F45" i="18"/>
  <c r="F10" i="18"/>
  <c r="F44" i="18"/>
  <c r="F41" i="18"/>
  <c r="F57" i="18"/>
  <c r="F71" i="18"/>
  <c r="F29" i="18"/>
  <c r="F73" i="18"/>
  <c r="F51" i="18"/>
  <c r="AC63" i="18" l="1"/>
  <c r="AG63" i="18"/>
  <c r="AC41" i="18"/>
  <c r="AG41" i="18"/>
  <c r="AC20" i="18"/>
  <c r="AG20" i="18"/>
  <c r="AC10" i="18"/>
  <c r="AG10" i="18"/>
  <c r="AC73" i="18"/>
  <c r="AG73" i="18"/>
  <c r="AC44" i="18"/>
  <c r="AG44" i="18"/>
  <c r="AC7" i="18"/>
  <c r="AG7" i="18"/>
  <c r="AC51" i="18"/>
  <c r="AG51" i="18"/>
  <c r="AC45" i="18"/>
  <c r="AG45" i="18"/>
  <c r="F35" i="18"/>
  <c r="F8" i="18"/>
  <c r="F40" i="18"/>
  <c r="F21" i="18"/>
  <c r="F34" i="18"/>
  <c r="F13" i="18"/>
  <c r="F53" i="18"/>
  <c r="AC34" i="18" l="1"/>
  <c r="AG34" i="18"/>
  <c r="AC35" i="18"/>
  <c r="AG35" i="18"/>
  <c r="AC21" i="18"/>
  <c r="AG21" i="18"/>
  <c r="AC8" i="18"/>
  <c r="AG8" i="18"/>
  <c r="AC53" i="18"/>
  <c r="AG53" i="18"/>
  <c r="AC40" i="18"/>
  <c r="AG40" i="18"/>
  <c r="AH92" i="18"/>
  <c r="D71" i="18"/>
  <c r="AC71" i="18" l="1"/>
  <c r="AG71" i="18"/>
  <c r="D23" i="18"/>
  <c r="D49" i="18"/>
  <c r="D75" i="18"/>
  <c r="D76" i="18"/>
  <c r="D77" i="18"/>
  <c r="D57" i="18"/>
  <c r="D56" i="18"/>
  <c r="D29" i="18"/>
  <c r="D24" i="18"/>
  <c r="D13" i="18"/>
  <c r="AC29" i="18" l="1"/>
  <c r="AG29" i="18"/>
  <c r="AC13" i="18"/>
  <c r="AG13" i="18"/>
  <c r="AC57" i="18"/>
  <c r="AG57" i="18"/>
  <c r="AC49" i="18"/>
  <c r="AG49" i="18"/>
  <c r="AC24" i="18"/>
  <c r="AG24" i="18"/>
  <c r="AC77" i="18"/>
  <c r="AG77" i="18"/>
  <c r="AC23" i="18"/>
  <c r="AG23" i="18"/>
  <c r="AC76" i="18"/>
  <c r="AG76" i="18"/>
  <c r="AC56" i="18"/>
  <c r="AG56" i="18"/>
  <c r="AC75" i="18"/>
  <c r="AG75" i="18"/>
  <c r="D99" i="18"/>
  <c r="AG103" i="14"/>
  <c r="K22" i="14"/>
  <c r="AI89" i="14"/>
  <c r="C120" i="14"/>
  <c r="C122" i="14" s="1"/>
  <c r="AH120" i="14"/>
  <c r="AH121" i="14" s="1"/>
  <c r="AK116" i="14"/>
  <c r="AC99" i="18" l="1"/>
  <c r="AB99" i="18"/>
  <c r="Y102" i="18"/>
  <c r="N99" i="18"/>
  <c r="L99" i="18"/>
  <c r="K99" i="18"/>
  <c r="K102" i="18" s="1"/>
  <c r="J99" i="18"/>
  <c r="F99" i="18"/>
  <c r="E99" i="18"/>
  <c r="E102" i="18" s="1"/>
  <c r="C99" i="18"/>
  <c r="AE94" i="18"/>
  <c r="AE91" i="18"/>
  <c r="AE88" i="18"/>
  <c r="AH88" i="18"/>
  <c r="AE87" i="18"/>
  <c r="AE86" i="18"/>
  <c r="AE85" i="18"/>
  <c r="AE84" i="18"/>
  <c r="AE83" i="18"/>
  <c r="AE82" i="18"/>
  <c r="AE81" i="18"/>
  <c r="AE80" i="18"/>
  <c r="AE79" i="18"/>
  <c r="AE78" i="18"/>
  <c r="AE77" i="18"/>
  <c r="AE76" i="18"/>
  <c r="AE75" i="18"/>
  <c r="AE74" i="18"/>
  <c r="AE73" i="18"/>
  <c r="AE72" i="18"/>
  <c r="AE71" i="18"/>
  <c r="AE70" i="18"/>
  <c r="AE69" i="18"/>
  <c r="AE68" i="18"/>
  <c r="AE67" i="18"/>
  <c r="AE66" i="18"/>
  <c r="AE65" i="18"/>
  <c r="AE64" i="18"/>
  <c r="AE63" i="18"/>
  <c r="AE62" i="18"/>
  <c r="AE61" i="18"/>
  <c r="AE60" i="18"/>
  <c r="AE59" i="18"/>
  <c r="AE58" i="18"/>
  <c r="AE57" i="18"/>
  <c r="AE56" i="18"/>
  <c r="AE55" i="18"/>
  <c r="AE54" i="18"/>
  <c r="AE53" i="18"/>
  <c r="AE52" i="18"/>
  <c r="AE51" i="18"/>
  <c r="AE50" i="18"/>
  <c r="AE49" i="18"/>
  <c r="AE48" i="18"/>
  <c r="AE47" i="18"/>
  <c r="AE46" i="18"/>
  <c r="AE45" i="18"/>
  <c r="AE44" i="18"/>
  <c r="AE43" i="18"/>
  <c r="AE42" i="18"/>
  <c r="AE41" i="18"/>
  <c r="AE40" i="18"/>
  <c r="AE39" i="18"/>
  <c r="AE38" i="18"/>
  <c r="AE37" i="18"/>
  <c r="AE36" i="18"/>
  <c r="AE35" i="18"/>
  <c r="AE34" i="18"/>
  <c r="AE33" i="18"/>
  <c r="AE32" i="18"/>
  <c r="AE31" i="18"/>
  <c r="AE30" i="18"/>
  <c r="AE29" i="18"/>
  <c r="AE28" i="18"/>
  <c r="AE27" i="18"/>
  <c r="AE26" i="18"/>
  <c r="AE25" i="18"/>
  <c r="AE24" i="18"/>
  <c r="AE23" i="18"/>
  <c r="AE22" i="18"/>
  <c r="AE21" i="18"/>
  <c r="AE20" i="18"/>
  <c r="AE19" i="18"/>
  <c r="AE18" i="18"/>
  <c r="AE17" i="18"/>
  <c r="AE16" i="18"/>
  <c r="AE15" i="18"/>
  <c r="AE14" i="18"/>
  <c r="AE13" i="18"/>
  <c r="AE12" i="18"/>
  <c r="AE11" i="18"/>
  <c r="AE10" i="18"/>
  <c r="AE9" i="18"/>
  <c r="AE8" i="18"/>
  <c r="AE7" i="18"/>
  <c r="AE6" i="18"/>
  <c r="AG99" i="18" l="1"/>
  <c r="AH81" i="18"/>
  <c r="AH13" i="18"/>
  <c r="AH10" i="18"/>
  <c r="AH25" i="18"/>
  <c r="AH38" i="18"/>
  <c r="AH52" i="18"/>
  <c r="AH71" i="18"/>
  <c r="AH79" i="18"/>
  <c r="AH11" i="18"/>
  <c r="AH26" i="18"/>
  <c r="AH75" i="18"/>
  <c r="AE99" i="18"/>
  <c r="AH30" i="18"/>
  <c r="AH33" i="18"/>
  <c r="AH39" i="18"/>
  <c r="AH43" i="18"/>
  <c r="AH47" i="18"/>
  <c r="AH50" i="18"/>
  <c r="AH54" i="18"/>
  <c r="AH91" i="18"/>
  <c r="AH68" i="18"/>
  <c r="AH58" i="18"/>
  <c r="AH84" i="18"/>
  <c r="AH16" i="18"/>
  <c r="AH12" i="18"/>
  <c r="AH20" i="18"/>
  <c r="AH53" i="18"/>
  <c r="AH62" i="18"/>
  <c r="AH17" i="18"/>
  <c r="AH27" i="18"/>
  <c r="AH65" i="18"/>
  <c r="AH31" i="18"/>
  <c r="AH40" i="18"/>
  <c r="AH72" i="18"/>
  <c r="AH44" i="18"/>
  <c r="AH55" i="18"/>
  <c r="AH85" i="18"/>
  <c r="AH6" i="18"/>
  <c r="AH14" i="18"/>
  <c r="AH15" i="18"/>
  <c r="AH21" i="18"/>
  <c r="AH28" i="18"/>
  <c r="AH29" i="18"/>
  <c r="AH34" i="18"/>
  <c r="AH41" i="18"/>
  <c r="AH42" i="18"/>
  <c r="AH48" i="18"/>
  <c r="AH56" i="18"/>
  <c r="AH57" i="18"/>
  <c r="AH63" i="18"/>
  <c r="AH64" i="18"/>
  <c r="AH70" i="18"/>
  <c r="AH76" i="18"/>
  <c r="AH82" i="18"/>
  <c r="AH83" i="18"/>
  <c r="AH9" i="18"/>
  <c r="AH18" i="18"/>
  <c r="AH19" i="18"/>
  <c r="AH24" i="18"/>
  <c r="AH32" i="18"/>
  <c r="AH37" i="18"/>
  <c r="AH45" i="18"/>
  <c r="AH46" i="18"/>
  <c r="AH51" i="18"/>
  <c r="AH59" i="18"/>
  <c r="AH66" i="18"/>
  <c r="AH67" i="18"/>
  <c r="AH69" i="18"/>
  <c r="AH73" i="18"/>
  <c r="AH74" i="18"/>
  <c r="AH80" i="18"/>
  <c r="AH86" i="18"/>
  <c r="AH87" i="18"/>
  <c r="AH7" i="18"/>
  <c r="AH8" i="18"/>
  <c r="AH22" i="18"/>
  <c r="AH23" i="18"/>
  <c r="AH35" i="18"/>
  <c r="AH36" i="18"/>
  <c r="AH49" i="18"/>
  <c r="AH60" i="18"/>
  <c r="AH61" i="18"/>
  <c r="AH77" i="18"/>
  <c r="AH78" i="18"/>
  <c r="AH94" i="18"/>
  <c r="AH99" i="18" l="1"/>
  <c r="AE118" i="14"/>
  <c r="AE119" i="14"/>
  <c r="AI118" i="14"/>
  <c r="AI119" i="14"/>
  <c r="AJ118" i="14"/>
  <c r="AJ119" i="14"/>
  <c r="AB120" i="14"/>
  <c r="AB123" i="14" s="1"/>
  <c r="AE17" i="14"/>
  <c r="AE18" i="14"/>
  <c r="AE19" i="14"/>
  <c r="AE25" i="14"/>
  <c r="AE48" i="14"/>
  <c r="AE76" i="14"/>
  <c r="AE84" i="14"/>
  <c r="AE88" i="14"/>
  <c r="AE115" i="14"/>
  <c r="AE116" i="14"/>
  <c r="AA120" i="14"/>
  <c r="AK118" i="14" l="1"/>
  <c r="AK119" i="14"/>
  <c r="Z50" i="14" l="1"/>
  <c r="Z82" i="14" l="1"/>
  <c r="Z31" i="14"/>
  <c r="Z51" i="14"/>
  <c r="Z49" i="14"/>
  <c r="Z97" i="14"/>
  <c r="Z34" i="14"/>
  <c r="Z37" i="14"/>
  <c r="Z13" i="14"/>
  <c r="Z6" i="14"/>
  <c r="Z43" i="14"/>
  <c r="Z54" i="14"/>
  <c r="Z39" i="14"/>
  <c r="Z71" i="14"/>
  <c r="Z98" i="14"/>
  <c r="Z47" i="14"/>
  <c r="Z14" i="14"/>
  <c r="Z23" i="14"/>
  <c r="Z99" i="14"/>
  <c r="X72" i="14" l="1"/>
  <c r="Z20" i="14" l="1"/>
  <c r="Z60" i="14"/>
  <c r="Z106" i="14"/>
  <c r="Z40" i="14"/>
  <c r="Z52" i="14"/>
  <c r="Z28" i="14"/>
  <c r="Z10" i="14"/>
  <c r="Z102" i="14"/>
  <c r="Z64" i="14"/>
  <c r="Z103" i="14" l="1"/>
  <c r="Z32" i="14"/>
  <c r="AG88" i="14" l="1"/>
  <c r="X37" i="14" l="1"/>
  <c r="AI115" i="14" l="1"/>
  <c r="AK115" i="14" s="1"/>
  <c r="U125" i="14"/>
  <c r="E120" i="14"/>
  <c r="T23" i="14"/>
  <c r="U23" i="14"/>
  <c r="T52" i="14" l="1"/>
  <c r="T32" i="14" l="1"/>
  <c r="U52" i="14"/>
  <c r="V54" i="14" l="1"/>
  <c r="V99" i="14"/>
  <c r="V6" i="14"/>
  <c r="V31" i="14" l="1"/>
  <c r="V50" i="14"/>
  <c r="V60" i="14"/>
  <c r="V37" i="14"/>
  <c r="AJ9" i="14" l="1"/>
  <c r="AJ12" i="14"/>
  <c r="AJ15" i="14"/>
  <c r="AJ16" i="14"/>
  <c r="AJ17" i="14"/>
  <c r="AJ18" i="14"/>
  <c r="AJ19" i="14"/>
  <c r="AJ25" i="14"/>
  <c r="AJ27" i="14"/>
  <c r="AJ28" i="14"/>
  <c r="AJ29" i="14"/>
  <c r="AJ30" i="14"/>
  <c r="AJ33" i="14"/>
  <c r="AJ35" i="14"/>
  <c r="AJ41" i="14"/>
  <c r="AJ44" i="14"/>
  <c r="AJ45" i="14"/>
  <c r="AJ48" i="14"/>
  <c r="AJ53" i="14"/>
  <c r="AJ55" i="14"/>
  <c r="AJ57" i="14"/>
  <c r="AJ61" i="14"/>
  <c r="AJ62" i="14"/>
  <c r="AJ65" i="14"/>
  <c r="AJ66" i="14"/>
  <c r="AJ67" i="14"/>
  <c r="AJ68" i="14"/>
  <c r="AJ69" i="14"/>
  <c r="AJ70" i="14"/>
  <c r="AJ71" i="14"/>
  <c r="AJ72" i="14"/>
  <c r="AJ73" i="14"/>
  <c r="AJ74" i="14"/>
  <c r="AJ76" i="14"/>
  <c r="AJ77" i="14"/>
  <c r="AJ78" i="14"/>
  <c r="AJ80" i="14"/>
  <c r="AJ81" i="14"/>
  <c r="AJ83" i="14"/>
  <c r="AJ84" i="14"/>
  <c r="AJ85" i="14"/>
  <c r="AJ86" i="14"/>
  <c r="AJ87" i="14"/>
  <c r="AJ88" i="14"/>
  <c r="AJ89" i="14"/>
  <c r="AK89" i="14" s="1"/>
  <c r="AJ91" i="14"/>
  <c r="AJ92" i="14"/>
  <c r="AJ93" i="14"/>
  <c r="AJ94" i="14"/>
  <c r="AJ95" i="14"/>
  <c r="AJ96" i="14"/>
  <c r="AJ100" i="14"/>
  <c r="AJ104" i="14"/>
  <c r="AJ105" i="14"/>
  <c r="AJ107" i="14"/>
  <c r="AJ108" i="14"/>
  <c r="AJ109" i="14"/>
  <c r="AJ110" i="14"/>
  <c r="AJ111" i="14"/>
  <c r="AJ112" i="14"/>
  <c r="AJ113" i="14"/>
  <c r="AJ114" i="14"/>
  <c r="AJ117" i="14"/>
  <c r="AI7" i="14"/>
  <c r="AI8" i="14"/>
  <c r="AI9" i="14"/>
  <c r="AK9" i="14" s="1"/>
  <c r="AI10" i="14"/>
  <c r="AI11" i="14"/>
  <c r="AI12" i="14"/>
  <c r="AK12" i="14" s="1"/>
  <c r="AI13" i="14"/>
  <c r="AI14" i="14"/>
  <c r="AI15" i="14"/>
  <c r="AK15" i="14" s="1"/>
  <c r="AI16" i="14"/>
  <c r="AI17" i="14"/>
  <c r="AK17" i="14" s="1"/>
  <c r="AI18" i="14"/>
  <c r="AK18" i="14" s="1"/>
  <c r="AI19" i="14"/>
  <c r="AI20" i="14"/>
  <c r="AI21" i="14"/>
  <c r="AI22" i="14"/>
  <c r="AI23" i="14"/>
  <c r="AI24" i="14"/>
  <c r="AI25" i="14"/>
  <c r="AI26" i="14"/>
  <c r="AI27" i="14"/>
  <c r="AK27" i="14" s="1"/>
  <c r="AI28" i="14"/>
  <c r="AK28" i="14" s="1"/>
  <c r="AI29" i="14"/>
  <c r="AI30" i="14"/>
  <c r="AI31" i="14"/>
  <c r="AI32" i="14"/>
  <c r="AI33" i="14"/>
  <c r="AK33" i="14" s="1"/>
  <c r="AI34" i="14"/>
  <c r="AI35" i="14"/>
  <c r="AK35" i="14" s="1"/>
  <c r="AI36" i="14"/>
  <c r="AI37" i="14"/>
  <c r="AI38" i="14"/>
  <c r="AI39" i="14"/>
  <c r="AI40" i="14"/>
  <c r="AI41" i="14"/>
  <c r="AI42" i="14"/>
  <c r="AI43" i="14"/>
  <c r="AI44" i="14"/>
  <c r="AI45" i="14"/>
  <c r="AK45" i="14" s="1"/>
  <c r="AI46" i="14"/>
  <c r="AI47" i="14"/>
  <c r="AI48" i="14"/>
  <c r="AK48" i="14" s="1"/>
  <c r="AI49" i="14"/>
  <c r="AI50" i="14"/>
  <c r="AI51" i="14"/>
  <c r="AI52" i="14"/>
  <c r="AI53" i="14"/>
  <c r="AI54" i="14"/>
  <c r="AI55" i="14"/>
  <c r="AK55" i="14" s="1"/>
  <c r="AI56" i="14"/>
  <c r="AI57" i="14"/>
  <c r="AK57" i="14" s="1"/>
  <c r="AI58" i="14"/>
  <c r="AI59" i="14"/>
  <c r="AI60" i="14"/>
  <c r="AI61" i="14"/>
  <c r="AK61" i="14" s="1"/>
  <c r="AI62" i="14"/>
  <c r="AK62" i="14" s="1"/>
  <c r="AI63" i="14"/>
  <c r="AI64" i="14"/>
  <c r="AI65" i="14"/>
  <c r="AI66" i="14"/>
  <c r="AK66" i="14" s="1"/>
  <c r="AI67" i="14"/>
  <c r="AK67" i="14" s="1"/>
  <c r="AI68" i="14"/>
  <c r="AI69" i="14"/>
  <c r="AI70" i="14"/>
  <c r="AK70" i="14" s="1"/>
  <c r="AI71" i="14"/>
  <c r="AK71" i="14" s="1"/>
  <c r="AI72" i="14"/>
  <c r="AI73" i="14"/>
  <c r="AI74" i="14"/>
  <c r="AK74" i="14" s="1"/>
  <c r="AI75" i="14"/>
  <c r="AI76" i="14"/>
  <c r="AK76" i="14" s="1"/>
  <c r="AI77" i="14"/>
  <c r="AI78" i="14"/>
  <c r="AI79" i="14"/>
  <c r="AI80" i="14"/>
  <c r="AK80" i="14" s="1"/>
  <c r="AI81" i="14"/>
  <c r="AK81" i="14" s="1"/>
  <c r="AI82" i="14"/>
  <c r="AI83" i="14"/>
  <c r="AI84" i="14"/>
  <c r="AI85" i="14"/>
  <c r="AK85" i="14" s="1"/>
  <c r="AI86" i="14"/>
  <c r="AK86" i="14" s="1"/>
  <c r="AI87" i="14"/>
  <c r="AK87" i="14" s="1"/>
  <c r="AI88" i="14"/>
  <c r="AI90" i="14"/>
  <c r="AI91" i="14"/>
  <c r="AK91" i="14" s="1"/>
  <c r="AI92" i="14"/>
  <c r="AI93" i="14"/>
  <c r="AI94" i="14"/>
  <c r="AK94" i="14" s="1"/>
  <c r="AI95" i="14"/>
  <c r="AK95" i="14" s="1"/>
  <c r="AI96" i="14"/>
  <c r="AK96" i="14" s="1"/>
  <c r="AI97" i="14"/>
  <c r="AI98" i="14"/>
  <c r="AI99" i="14"/>
  <c r="AI100" i="14"/>
  <c r="AK100" i="14" s="1"/>
  <c r="AI101" i="14"/>
  <c r="AI102" i="14"/>
  <c r="AI103" i="14"/>
  <c r="AI104" i="14"/>
  <c r="AK104" i="14" s="1"/>
  <c r="AI105" i="14"/>
  <c r="AK105" i="14" s="1"/>
  <c r="AI106" i="14"/>
  <c r="AI107" i="14"/>
  <c r="AI108" i="14"/>
  <c r="AI109" i="14"/>
  <c r="AK109" i="14" s="1"/>
  <c r="AI110" i="14"/>
  <c r="AK110" i="14" s="1"/>
  <c r="AI111" i="14"/>
  <c r="AK111" i="14" s="1"/>
  <c r="AI112" i="14"/>
  <c r="AK112" i="14" s="1"/>
  <c r="AI113" i="14"/>
  <c r="AK113" i="14" s="1"/>
  <c r="AI114" i="14"/>
  <c r="AK114" i="14" s="1"/>
  <c r="AI117" i="14"/>
  <c r="AI6" i="14"/>
  <c r="AK108" i="14" l="1"/>
  <c r="AK92" i="14"/>
  <c r="AK83" i="14"/>
  <c r="AK19" i="14"/>
  <c r="AK117" i="14"/>
  <c r="AK107" i="14"/>
  <c r="AK30" i="14"/>
  <c r="AK72" i="14"/>
  <c r="AK77" i="14"/>
  <c r="AK73" i="14"/>
  <c r="AK69" i="14"/>
  <c r="AK65" i="14"/>
  <c r="AK53" i="14"/>
  <c r="AK41" i="14"/>
  <c r="AK29" i="14"/>
  <c r="AK25" i="14"/>
  <c r="AK78" i="14"/>
  <c r="AK93" i="14"/>
  <c r="AK88" i="14"/>
  <c r="AK84" i="14"/>
  <c r="AK68" i="14"/>
  <c r="AK44" i="14"/>
  <c r="AK16" i="14"/>
  <c r="R97" i="14"/>
  <c r="R54" i="14"/>
  <c r="R50" i="14"/>
  <c r="P20" i="14" l="1"/>
  <c r="P49" i="14"/>
  <c r="P31" i="14"/>
  <c r="P36" i="14"/>
  <c r="P7" i="14"/>
  <c r="AJ31" i="14" l="1"/>
  <c r="AK31" i="14" s="1"/>
  <c r="P39" i="14"/>
  <c r="P97" i="14"/>
  <c r="P6" i="14" l="1"/>
  <c r="P50" i="14"/>
  <c r="N7" i="14" l="1"/>
  <c r="N59" i="14" l="1"/>
  <c r="L11" i="14" l="1"/>
  <c r="N47" i="14" l="1"/>
  <c r="AJ47" i="14" s="1"/>
  <c r="AK47" i="14" s="1"/>
  <c r="N102" i="14"/>
  <c r="N58" i="14"/>
  <c r="AJ58" i="14" s="1"/>
  <c r="AK58" i="14" s="1"/>
  <c r="N20" i="14"/>
  <c r="N26" i="14"/>
  <c r="N101" i="14"/>
  <c r="N38" i="14"/>
  <c r="N90" i="14" l="1"/>
  <c r="N39" i="14"/>
  <c r="N51" i="14"/>
  <c r="N52" i="14"/>
  <c r="N24" i="14"/>
  <c r="L22" i="14" l="1"/>
  <c r="L98" i="14"/>
  <c r="L7" i="14"/>
  <c r="L49" i="14"/>
  <c r="L97" i="14"/>
  <c r="L6" i="14" l="1"/>
  <c r="L79" i="14" l="1"/>
  <c r="L50" i="14"/>
  <c r="L14" i="14"/>
  <c r="AJ79" i="14" l="1"/>
  <c r="AK79" i="14" s="1"/>
  <c r="AE79" i="14"/>
  <c r="L34" i="14"/>
  <c r="L36" i="14" l="1"/>
  <c r="L56" i="14"/>
  <c r="L54" i="14" l="1"/>
  <c r="L23" i="14"/>
  <c r="L103" i="14" l="1"/>
  <c r="AE103" i="14" s="1"/>
  <c r="L26" i="14"/>
  <c r="L13" i="14"/>
  <c r="AJ13" i="14" s="1"/>
  <c r="AK13" i="14" s="1"/>
  <c r="L101" i="14"/>
  <c r="L90" i="14"/>
  <c r="AJ103" i="14" l="1"/>
  <c r="AK103" i="14" s="1"/>
  <c r="D39" i="14"/>
  <c r="D11" i="14"/>
  <c r="J39" i="14" l="1"/>
  <c r="J97" i="14" l="1"/>
  <c r="J20" i="14"/>
  <c r="J6" i="14"/>
  <c r="AJ6" i="14" l="1"/>
  <c r="AK6" i="14" s="1"/>
  <c r="AE6" i="14"/>
  <c r="J37" i="14"/>
  <c r="AJ37" i="14" s="1"/>
  <c r="AK37" i="14" s="1"/>
  <c r="J59" i="14"/>
  <c r="J38" i="14"/>
  <c r="AJ38" i="14" s="1"/>
  <c r="AK38" i="14" s="1"/>
  <c r="J43" i="14"/>
  <c r="J7" i="14"/>
  <c r="J106" i="14"/>
  <c r="AJ106" i="14" s="1"/>
  <c r="AK106" i="14" s="1"/>
  <c r="J46" i="14"/>
  <c r="J10" i="14"/>
  <c r="J52" i="14"/>
  <c r="J22" i="14" l="1"/>
  <c r="J102" i="14"/>
  <c r="J11" i="14"/>
  <c r="J40" i="14"/>
  <c r="J64" i="14"/>
  <c r="J63" i="14"/>
  <c r="J21" i="14"/>
  <c r="J54" i="14"/>
  <c r="J60" i="14"/>
  <c r="J99" i="14"/>
  <c r="J98" i="14"/>
  <c r="J36" i="14"/>
  <c r="AJ36" i="14" s="1"/>
  <c r="AK36" i="14" s="1"/>
  <c r="H39" i="14" l="1"/>
  <c r="J120" i="14" l="1"/>
  <c r="J122" i="14" s="1"/>
  <c r="K120" i="14"/>
  <c r="K123" i="14" s="1"/>
  <c r="L120" i="14"/>
  <c r="M120" i="14"/>
  <c r="M123" i="14" s="1"/>
  <c r="N120" i="14"/>
  <c r="P120" i="14"/>
  <c r="Q120" i="14"/>
  <c r="Q123" i="14" s="1"/>
  <c r="R120" i="14"/>
  <c r="S120" i="14"/>
  <c r="S123" i="14" s="1"/>
  <c r="V120" i="14"/>
  <c r="W120" i="14"/>
  <c r="X120" i="14"/>
  <c r="Y120" i="14"/>
  <c r="Y123" i="14" s="1"/>
  <c r="W123" i="14" l="1"/>
  <c r="W126" i="14"/>
  <c r="I120" i="14"/>
  <c r="H7" i="14"/>
  <c r="H52" i="14"/>
  <c r="H40" i="14" l="1"/>
  <c r="H75" i="14"/>
  <c r="H20" i="14" l="1"/>
  <c r="H11" i="14"/>
  <c r="AJ11" i="14" s="1"/>
  <c r="AK11" i="14" s="1"/>
  <c r="H43" i="14"/>
  <c r="H34" i="14"/>
  <c r="AJ34" i="14" s="1"/>
  <c r="AK34" i="14" s="1"/>
  <c r="H23" i="14"/>
  <c r="AE23" i="14" s="1"/>
  <c r="H50" i="14"/>
  <c r="AJ50" i="14" s="1"/>
  <c r="AK50" i="14" s="1"/>
  <c r="H24" i="14"/>
  <c r="H101" i="14"/>
  <c r="H14" i="14"/>
  <c r="AJ14" i="14" s="1"/>
  <c r="AK14" i="14" s="1"/>
  <c r="AJ23" i="14" l="1"/>
  <c r="AK23" i="14" s="1"/>
  <c r="F90" i="14"/>
  <c r="AJ90" i="14" s="1"/>
  <c r="AK90" i="14" s="1"/>
  <c r="F7" i="14" l="1"/>
  <c r="AJ7" i="14" s="1"/>
  <c r="AK7" i="14" s="1"/>
  <c r="F46" i="14" l="1"/>
  <c r="F63" i="14"/>
  <c r="AJ63" i="14" s="1"/>
  <c r="AK63" i="14" s="1"/>
  <c r="F24" i="14"/>
  <c r="AE24" i="14" s="1"/>
  <c r="F43" i="14"/>
  <c r="AJ43" i="14" s="1"/>
  <c r="AK43" i="14" s="1"/>
  <c r="F32" i="14"/>
  <c r="AJ32" i="14" s="1"/>
  <c r="AK32" i="14" s="1"/>
  <c r="F60" i="14"/>
  <c r="AJ60" i="14" s="1"/>
  <c r="AK60" i="14" s="1"/>
  <c r="F101" i="14"/>
  <c r="AJ101" i="14" s="1"/>
  <c r="AK101" i="14" s="1"/>
  <c r="F52" i="14"/>
  <c r="AJ52" i="14" s="1"/>
  <c r="AK52" i="14" s="1"/>
  <c r="F40" i="14"/>
  <c r="AJ40" i="14" s="1"/>
  <c r="AK40" i="14" s="1"/>
  <c r="F26" i="14"/>
  <c r="AJ26" i="14" s="1"/>
  <c r="AK26" i="14" s="1"/>
  <c r="F39" i="14"/>
  <c r="AJ39" i="14" s="1"/>
  <c r="AK39" i="14" s="1"/>
  <c r="F98" i="14"/>
  <c r="AJ98" i="14" s="1"/>
  <c r="AK98" i="14" s="1"/>
  <c r="F102" i="14"/>
  <c r="AJ102" i="14" s="1"/>
  <c r="AK102" i="14" s="1"/>
  <c r="F51" i="14"/>
  <c r="AJ51" i="14" s="1"/>
  <c r="AK51" i="14" s="1"/>
  <c r="F54" i="14"/>
  <c r="AJ54" i="14" s="1"/>
  <c r="AK54" i="14" s="1"/>
  <c r="F99" i="14"/>
  <c r="F56" i="14"/>
  <c r="F64" i="14"/>
  <c r="AJ64" i="14" s="1"/>
  <c r="AK64" i="14" s="1"/>
  <c r="AJ24" i="14" l="1"/>
  <c r="AK24" i="14" s="1"/>
  <c r="F21" i="14"/>
  <c r="AJ21" i="14" s="1"/>
  <c r="AK21" i="14" s="1"/>
  <c r="E123" i="14" l="1"/>
  <c r="D46" i="14" l="1"/>
  <c r="AJ46" i="14" s="1"/>
  <c r="AK46" i="14" s="1"/>
  <c r="D20" i="14" l="1"/>
  <c r="AJ20" i="14" s="1"/>
  <c r="AK20" i="14" s="1"/>
  <c r="F120" i="14"/>
  <c r="G120" i="14"/>
  <c r="G123" i="14" s="1"/>
  <c r="H120" i="14"/>
  <c r="D82" i="14" l="1"/>
  <c r="AJ82" i="14" s="1"/>
  <c r="AK82" i="14" s="1"/>
  <c r="D8" i="14"/>
  <c r="AJ8" i="14" s="1"/>
  <c r="AK8" i="14" s="1"/>
  <c r="D75" i="14"/>
  <c r="AJ75" i="14" s="1"/>
  <c r="AK75" i="14" s="1"/>
  <c r="D56" i="14"/>
  <c r="AJ56" i="14" s="1"/>
  <c r="AK56" i="14" s="1"/>
  <c r="D97" i="14"/>
  <c r="AJ97" i="14" s="1"/>
  <c r="AK97" i="14" s="1"/>
  <c r="D22" i="14"/>
  <c r="AJ22" i="14" s="1"/>
  <c r="AK22" i="14" s="1"/>
  <c r="D10" i="14"/>
  <c r="AJ10" i="14" s="1"/>
  <c r="AK10" i="14" s="1"/>
  <c r="D42" i="14"/>
  <c r="AJ42" i="14" s="1"/>
  <c r="AK42" i="14" s="1"/>
  <c r="D59" i="14"/>
  <c r="AJ59" i="14" s="1"/>
  <c r="AK59" i="14" s="1"/>
  <c r="D49" i="14"/>
  <c r="AJ49" i="14" l="1"/>
  <c r="AK49" i="14" s="1"/>
  <c r="AE49" i="14"/>
  <c r="D120" i="14"/>
  <c r="AI120" i="14"/>
  <c r="R84" i="13" l="1"/>
  <c r="O100" i="13"/>
  <c r="AC109" i="13"/>
  <c r="B77" i="13"/>
  <c r="D7" i="13"/>
  <c r="AF87" i="13"/>
  <c r="AG87" i="13"/>
  <c r="AF34" i="13"/>
  <c r="AE15" i="13"/>
  <c r="AF15" i="13"/>
  <c r="AG15" i="13"/>
  <c r="AH15" i="13" l="1"/>
  <c r="B15" i="14" s="1"/>
  <c r="AE15" i="14" s="1"/>
  <c r="B21" i="13" l="1"/>
  <c r="AB104" i="13" l="1"/>
  <c r="AB114" i="13" s="1"/>
  <c r="AB117" i="13" s="1"/>
  <c r="AA114" i="13"/>
  <c r="AA117" i="13" s="1"/>
  <c r="AC113" i="13"/>
  <c r="Z95" i="13"/>
  <c r="Z28" i="13"/>
  <c r="Z60" i="13"/>
  <c r="Z46" i="13"/>
  <c r="AG9" i="13" l="1"/>
  <c r="AG12" i="13"/>
  <c r="AG16" i="13"/>
  <c r="AG23" i="13"/>
  <c r="AG25" i="13"/>
  <c r="AG26" i="13"/>
  <c r="AG29" i="13"/>
  <c r="AG31" i="13"/>
  <c r="AG37" i="13"/>
  <c r="AG40" i="13"/>
  <c r="AG41" i="13"/>
  <c r="AG44" i="13"/>
  <c r="AG51" i="13"/>
  <c r="AG53" i="13"/>
  <c r="AG57" i="13"/>
  <c r="AG58" i="13"/>
  <c r="AG62" i="13"/>
  <c r="AG63" i="13"/>
  <c r="AG64" i="13"/>
  <c r="AG65" i="13"/>
  <c r="AG66" i="13"/>
  <c r="AG68" i="13"/>
  <c r="AG69" i="13"/>
  <c r="AG70" i="13"/>
  <c r="AG72" i="13"/>
  <c r="AG73" i="13"/>
  <c r="AG74" i="13"/>
  <c r="AG77" i="13"/>
  <c r="AG79" i="13"/>
  <c r="AG81" i="13"/>
  <c r="AG82" i="13"/>
  <c r="AG83" i="13"/>
  <c r="AG85" i="13"/>
  <c r="AG88" i="13"/>
  <c r="AG89" i="13"/>
  <c r="AG90" i="13"/>
  <c r="AG91" i="13"/>
  <c r="AG92" i="13"/>
  <c r="AG96" i="13"/>
  <c r="AG98" i="13"/>
  <c r="AG101" i="13"/>
  <c r="AG102" i="13"/>
  <c r="AG104" i="13"/>
  <c r="AG105" i="13"/>
  <c r="AG106" i="13"/>
  <c r="AG107" i="13"/>
  <c r="AG108" i="13"/>
  <c r="AG109" i="13"/>
  <c r="AG110" i="13"/>
  <c r="AG111" i="13"/>
  <c r="AG113" i="13"/>
  <c r="AF7" i="13"/>
  <c r="AF8" i="13"/>
  <c r="AF9" i="13"/>
  <c r="AF10" i="13"/>
  <c r="AF11" i="13"/>
  <c r="AF12" i="13"/>
  <c r="AF13" i="13"/>
  <c r="AF14" i="13"/>
  <c r="AF16" i="13"/>
  <c r="AF17" i="13"/>
  <c r="AF18" i="13"/>
  <c r="AF19" i="13"/>
  <c r="AF20" i="13"/>
  <c r="AF21" i="13"/>
  <c r="AF22" i="13"/>
  <c r="AF23" i="13"/>
  <c r="AF24" i="13"/>
  <c r="AF25" i="13"/>
  <c r="AF26" i="13"/>
  <c r="AF27" i="13"/>
  <c r="AF28" i="13"/>
  <c r="AF29" i="13"/>
  <c r="AF30" i="13"/>
  <c r="AF31" i="13"/>
  <c r="AF32" i="13"/>
  <c r="AF33" i="13"/>
  <c r="AF35" i="13"/>
  <c r="AF36" i="13"/>
  <c r="AF37" i="13"/>
  <c r="AF38" i="13"/>
  <c r="AF39" i="13"/>
  <c r="AF40" i="13"/>
  <c r="AF41" i="13"/>
  <c r="AF42" i="13"/>
  <c r="AF43" i="13"/>
  <c r="AF44" i="13"/>
  <c r="AF45" i="13"/>
  <c r="AF46" i="13"/>
  <c r="AF47" i="13"/>
  <c r="AF48" i="13"/>
  <c r="AF49" i="13"/>
  <c r="AF50" i="13"/>
  <c r="AF51" i="13"/>
  <c r="AF52" i="13"/>
  <c r="AF53" i="13"/>
  <c r="AF54" i="13"/>
  <c r="AF55" i="13"/>
  <c r="AF56" i="13"/>
  <c r="AF57" i="13"/>
  <c r="AF58" i="13"/>
  <c r="AF59" i="13"/>
  <c r="AF60" i="13"/>
  <c r="AF61" i="13"/>
  <c r="AF62" i="13"/>
  <c r="AF63" i="13"/>
  <c r="AF64" i="13"/>
  <c r="AF65" i="13"/>
  <c r="AF66" i="13"/>
  <c r="AF67" i="13"/>
  <c r="AF68" i="13"/>
  <c r="AF69" i="13"/>
  <c r="AF70" i="13"/>
  <c r="AF71" i="13"/>
  <c r="AF72" i="13"/>
  <c r="AF73" i="13"/>
  <c r="AF74" i="13"/>
  <c r="AF75" i="13"/>
  <c r="AF76" i="13"/>
  <c r="AF77" i="13"/>
  <c r="AF78" i="13"/>
  <c r="AF79" i="13"/>
  <c r="AF80" i="13"/>
  <c r="AF81" i="13"/>
  <c r="AF82" i="13"/>
  <c r="AF83" i="13"/>
  <c r="AF84" i="13"/>
  <c r="AF85" i="13"/>
  <c r="AF86" i="13"/>
  <c r="AF88" i="13"/>
  <c r="AF89" i="13"/>
  <c r="AF90" i="13"/>
  <c r="AF91" i="13"/>
  <c r="AF92" i="13"/>
  <c r="AF93" i="13"/>
  <c r="AF94" i="13"/>
  <c r="AF95" i="13"/>
  <c r="AF96" i="13"/>
  <c r="AF97" i="13"/>
  <c r="AF98" i="13"/>
  <c r="AF99" i="13"/>
  <c r="AF100" i="13"/>
  <c r="AF101" i="13"/>
  <c r="AF102" i="13"/>
  <c r="AF103" i="13"/>
  <c r="AF104" i="13"/>
  <c r="AF105" i="13"/>
  <c r="AF106" i="13"/>
  <c r="AF107" i="13"/>
  <c r="AF108" i="13"/>
  <c r="AF109" i="13"/>
  <c r="AF110" i="13"/>
  <c r="AF111" i="13"/>
  <c r="AF112" i="13"/>
  <c r="AF113" i="13"/>
  <c r="AF6" i="13"/>
  <c r="Z47" i="13"/>
  <c r="Z45" i="13"/>
  <c r="Z13" i="13"/>
  <c r="Z10" i="13"/>
  <c r="Z61" i="13"/>
  <c r="Z103" i="13"/>
  <c r="Z39" i="13"/>
  <c r="Z78" i="13"/>
  <c r="AG78" i="13" s="1"/>
  <c r="Z86" i="13" l="1"/>
  <c r="Z114" i="13" l="1"/>
  <c r="Z118" i="13" s="1"/>
  <c r="AE61" i="13"/>
  <c r="AE108" i="13"/>
  <c r="AE109" i="13"/>
  <c r="AE110" i="13"/>
  <c r="AH110" i="13" s="1"/>
  <c r="B112" i="14" s="1"/>
  <c r="AE112" i="14" s="1"/>
  <c r="AE111" i="13"/>
  <c r="AH111" i="13" s="1"/>
  <c r="B113" i="14" s="1"/>
  <c r="AE113" i="14" s="1"/>
  <c r="AE113" i="13"/>
  <c r="AH113" i="13" l="1"/>
  <c r="B117" i="14" s="1"/>
  <c r="AE117" i="14" s="1"/>
  <c r="AH108" i="13"/>
  <c r="B111" i="14" s="1"/>
  <c r="AE111" i="14" s="1"/>
  <c r="AH109" i="13"/>
  <c r="AF114" i="13"/>
  <c r="Y114" i="13"/>
  <c r="Y117" i="13" s="1"/>
  <c r="Y119" i="13" s="1"/>
  <c r="X18" i="13"/>
  <c r="AG18" i="13" s="1"/>
  <c r="X45" i="13"/>
  <c r="X46" i="13"/>
  <c r="X112" i="13"/>
  <c r="X97" i="13"/>
  <c r="X11" i="13"/>
  <c r="X93" i="13"/>
  <c r="X35" i="13"/>
  <c r="X55" i="13"/>
  <c r="X7" i="13"/>
  <c r="X48" i="13"/>
  <c r="X32" i="13" l="1"/>
  <c r="X20" i="13"/>
  <c r="X50" i="13" l="1"/>
  <c r="X17" i="13"/>
  <c r="X95" i="13"/>
  <c r="X99" i="13"/>
  <c r="X80" i="13"/>
  <c r="X47" i="13"/>
  <c r="X54" i="13"/>
  <c r="X94" i="13"/>
  <c r="X39" i="13"/>
  <c r="X59" i="13"/>
  <c r="X100" i="13" l="1"/>
  <c r="X36" i="13" l="1"/>
  <c r="X114" i="13" l="1"/>
  <c r="W114" i="13"/>
  <c r="W117" i="13" s="1"/>
  <c r="V35" i="13" l="1"/>
  <c r="V7" i="13"/>
  <c r="V93" i="13"/>
  <c r="V17" i="13"/>
  <c r="V13" i="13"/>
  <c r="V50" i="13"/>
  <c r="V34" i="13"/>
  <c r="V30" i="13"/>
  <c r="V47" i="13"/>
  <c r="V99" i="13"/>
  <c r="V36" i="13"/>
  <c r="V59" i="13"/>
  <c r="V54" i="13"/>
  <c r="V71" i="13"/>
  <c r="V103" i="13"/>
  <c r="V48" i="13"/>
  <c r="V28" i="13"/>
  <c r="V19" i="13"/>
  <c r="V114" i="13" l="1"/>
  <c r="F46" i="13"/>
  <c r="T42" i="13" l="1"/>
  <c r="U114" i="13" l="1"/>
  <c r="U117" i="13" s="1"/>
  <c r="T7" i="13" l="1"/>
  <c r="T75" i="13"/>
  <c r="T17" i="13"/>
  <c r="T36" i="13"/>
  <c r="T80" i="13"/>
  <c r="T52" i="13"/>
  <c r="T19" i="13"/>
  <c r="T50" i="13"/>
  <c r="T71" i="13"/>
  <c r="T46" i="13"/>
  <c r="T22" i="13"/>
  <c r="T11" i="13"/>
  <c r="T6" i="13"/>
  <c r="T99" i="13" l="1"/>
  <c r="M114" i="13" l="1"/>
  <c r="T94" i="13"/>
  <c r="T30" i="13"/>
  <c r="T114" i="13" l="1"/>
  <c r="AI116" i="13" s="1"/>
  <c r="M117" i="13"/>
  <c r="R61" i="13"/>
  <c r="R35" i="13"/>
  <c r="S114" i="13" l="1"/>
  <c r="S117" i="13" s="1"/>
  <c r="R7" i="13" l="1"/>
  <c r="R93" i="13"/>
  <c r="R17" i="13"/>
  <c r="R49" i="13"/>
  <c r="R11" i="13"/>
  <c r="R95" i="13"/>
  <c r="R47" i="13"/>
  <c r="R94" i="13"/>
  <c r="R32" i="13"/>
  <c r="R97" i="13"/>
  <c r="R42" i="13"/>
  <c r="R60" i="13"/>
  <c r="R46" i="13"/>
  <c r="R50" i="13" l="1"/>
  <c r="R56" i="13"/>
  <c r="R54" i="13"/>
  <c r="R14" i="13"/>
  <c r="R20" i="13" l="1"/>
  <c r="R114" i="13" l="1"/>
  <c r="Q114" i="13" l="1"/>
  <c r="Q117" i="13" s="1"/>
  <c r="P103" i="13"/>
  <c r="AG103" i="13" s="1"/>
  <c r="P94" i="13"/>
  <c r="P93" i="13"/>
  <c r="P86" i="13"/>
  <c r="AG86" i="13" s="1"/>
  <c r="P84" i="13"/>
  <c r="P67" i="13"/>
  <c r="AG67" i="13" s="1"/>
  <c r="P60" i="13"/>
  <c r="AG60" i="13" s="1"/>
  <c r="P47" i="13"/>
  <c r="AG47" i="13" s="1"/>
  <c r="P46" i="13"/>
  <c r="P36" i="13"/>
  <c r="P35" i="13"/>
  <c r="P27" i="13"/>
  <c r="P21" i="13"/>
  <c r="P11" i="13"/>
  <c r="P10" i="13"/>
  <c r="P7" i="13"/>
  <c r="P114" i="13" l="1"/>
  <c r="N93" i="13"/>
  <c r="N7" i="13"/>
  <c r="N11" i="13"/>
  <c r="O114" i="13" l="1"/>
  <c r="O117" i="13" s="1"/>
  <c r="N71" i="13" l="1"/>
  <c r="AG71" i="13" s="1"/>
  <c r="N45" i="13"/>
  <c r="AC111" i="13"/>
  <c r="AC110" i="13"/>
  <c r="AC108" i="13"/>
  <c r="F112" i="13"/>
  <c r="AG112" i="13" s="1"/>
  <c r="N35" i="13" l="1"/>
  <c r="N46" i="13" l="1"/>
  <c r="N17" i="13" l="1"/>
  <c r="N97" i="13"/>
  <c r="N21" i="13"/>
  <c r="N52" i="13"/>
  <c r="N36" i="13"/>
  <c r="N114" i="13" l="1"/>
  <c r="N116" i="13" s="1"/>
  <c r="L93" i="13"/>
  <c r="L8" i="13" l="1"/>
  <c r="L10" i="13" l="1"/>
  <c r="AG10" i="13" s="1"/>
  <c r="L33" i="13"/>
  <c r="L49" i="13"/>
  <c r="L17" i="13"/>
  <c r="L59" i="13"/>
  <c r="AG59" i="13" s="1"/>
  <c r="L7" i="13"/>
  <c r="L35" i="13" l="1"/>
  <c r="L84" i="13"/>
  <c r="AG84" i="13" s="1"/>
  <c r="L22" i="13"/>
  <c r="L14" i="13"/>
  <c r="AG14" i="13" s="1"/>
  <c r="L11" i="13"/>
  <c r="L99" i="13"/>
  <c r="L54" i="13"/>
  <c r="L38" i="13"/>
  <c r="L39" i="13"/>
  <c r="L28" i="13"/>
  <c r="L32" i="13"/>
  <c r="L43" i="13"/>
  <c r="L94" i="13" l="1"/>
  <c r="L24" i="13"/>
  <c r="L114" i="13" l="1"/>
  <c r="K114" i="13"/>
  <c r="K117" i="13" s="1"/>
  <c r="J52" i="13"/>
  <c r="J93" i="13"/>
  <c r="J75" i="13"/>
  <c r="J56" i="13"/>
  <c r="AG56" i="13" s="1"/>
  <c r="J49" i="13"/>
  <c r="AG49" i="13" s="1"/>
  <c r="J38" i="13"/>
  <c r="AG38" i="13" s="1"/>
  <c r="J30" i="13"/>
  <c r="J21" i="13"/>
  <c r="J7" i="13"/>
  <c r="J35" i="13" l="1"/>
  <c r="J42" i="13"/>
  <c r="J17" i="13"/>
  <c r="J95" i="13"/>
  <c r="J48" i="13"/>
  <c r="AG48" i="13" s="1"/>
  <c r="J36" i="13"/>
  <c r="J100" i="13" l="1"/>
  <c r="AG100" i="13" s="1"/>
  <c r="J8" i="13"/>
  <c r="J61" i="13"/>
  <c r="J50" i="13"/>
  <c r="J24" i="13"/>
  <c r="J28" i="13"/>
  <c r="J39" i="13"/>
  <c r="J19" i="13"/>
  <c r="J20" i="13"/>
  <c r="J55" i="13"/>
  <c r="J32" i="13"/>
  <c r="AG32" i="13" s="1"/>
  <c r="J27" i="13"/>
  <c r="J114" i="13" l="1"/>
  <c r="I114" i="13"/>
  <c r="I117" i="13" s="1"/>
  <c r="F35" i="13"/>
  <c r="F93" i="13"/>
  <c r="F45" i="13"/>
  <c r="F7" i="13"/>
  <c r="F42" i="13"/>
  <c r="F54" i="13"/>
  <c r="AG54" i="13" s="1"/>
  <c r="F55" i="13"/>
  <c r="AG55" i="13" s="1"/>
  <c r="H61" i="13"/>
  <c r="H13" i="13" l="1"/>
  <c r="AG13" i="13" s="1"/>
  <c r="H33" i="13" l="1"/>
  <c r="AG33" i="13" s="1"/>
  <c r="H8" i="13"/>
  <c r="H95" i="13"/>
  <c r="AG95" i="13" s="1"/>
  <c r="H80" i="13"/>
  <c r="AG80" i="13" s="1"/>
  <c r="H45" i="13"/>
  <c r="AG45" i="13" s="1"/>
  <c r="H27" i="13"/>
  <c r="AG27" i="13" s="1"/>
  <c r="H7" i="13"/>
  <c r="AG7" i="13" s="1"/>
  <c r="H19" i="13"/>
  <c r="H93" i="13"/>
  <c r="AG93" i="13" s="1"/>
  <c r="H17" i="13"/>
  <c r="H50" i="13" l="1"/>
  <c r="AG50" i="13" s="1"/>
  <c r="H99" i="13"/>
  <c r="AG99" i="13" s="1"/>
  <c r="H35" i="13" l="1"/>
  <c r="AG35" i="13" s="1"/>
  <c r="H11" i="13"/>
  <c r="H46" i="13"/>
  <c r="H34" i="13"/>
  <c r="H42" i="13"/>
  <c r="AG42" i="13" s="1"/>
  <c r="H22" i="13"/>
  <c r="AG22" i="13" s="1"/>
  <c r="H24" i="13"/>
  <c r="AG24" i="13" s="1"/>
  <c r="H94" i="13"/>
  <c r="AG94" i="13" s="1"/>
  <c r="H36" i="13"/>
  <c r="AG36" i="13" s="1"/>
  <c r="H52" i="13"/>
  <c r="H114" i="13" l="1"/>
  <c r="G114" i="13"/>
  <c r="G117" i="13" s="1"/>
  <c r="F6" i="13" l="1"/>
  <c r="AG6" i="13" s="1"/>
  <c r="F39" i="13"/>
  <c r="AG39" i="13" s="1"/>
  <c r="F30" i="13"/>
  <c r="AG30" i="13" s="1"/>
  <c r="F20" i="13"/>
  <c r="AG20" i="13" s="1"/>
  <c r="F17" i="13"/>
  <c r="AG17" i="13" s="1"/>
  <c r="F11" i="13"/>
  <c r="F34" i="13"/>
  <c r="F8" i="13"/>
  <c r="F61" i="13"/>
  <c r="F28" i="13"/>
  <c r="AG28" i="13" s="1"/>
  <c r="AG61" i="13" l="1"/>
  <c r="AH61" i="13" s="1"/>
  <c r="B65" i="14" s="1"/>
  <c r="AE65" i="14" s="1"/>
  <c r="F114" i="13"/>
  <c r="F116" i="13" s="1"/>
  <c r="D116" i="13" l="1"/>
  <c r="E114" i="13" l="1"/>
  <c r="E117" i="13" s="1"/>
  <c r="F122" i="13" s="1"/>
  <c r="D19" i="13" l="1"/>
  <c r="AG19" i="13" s="1"/>
  <c r="D8" i="13"/>
  <c r="AG8" i="13" s="1"/>
  <c r="D46" i="13"/>
  <c r="AG46" i="13" s="1"/>
  <c r="D11" i="13"/>
  <c r="AG11" i="13" s="1"/>
  <c r="D52" i="13"/>
  <c r="AG52" i="13" s="1"/>
  <c r="D34" i="13"/>
  <c r="AG34" i="13" s="1"/>
  <c r="D21" i="13"/>
  <c r="AG21" i="13" s="1"/>
  <c r="D97" i="13"/>
  <c r="AG97" i="13" s="1"/>
  <c r="D43" i="13"/>
  <c r="AG43" i="13" s="1"/>
  <c r="D75" i="13"/>
  <c r="AG75" i="13" s="1"/>
  <c r="AG114" i="13" l="1"/>
  <c r="D114" i="13"/>
  <c r="G122" i="13" s="1"/>
  <c r="AB111" i="10" l="1"/>
  <c r="AB114" i="10" s="1"/>
  <c r="AB115" i="10" s="1"/>
  <c r="Z75" i="10"/>
  <c r="Z46" i="10"/>
  <c r="Z59" i="10"/>
  <c r="Z48" i="10"/>
  <c r="Z100" i="10"/>
  <c r="Z35" i="10"/>
  <c r="Z34" i="10"/>
  <c r="Z33" i="10"/>
  <c r="Z7" i="10"/>
  <c r="Z54" i="10"/>
  <c r="Z96" i="10" l="1"/>
  <c r="Z101" i="10"/>
  <c r="Z84" i="10"/>
  <c r="Z11" i="10"/>
  <c r="AA11" i="10"/>
  <c r="AF11" i="10" s="1"/>
  <c r="AF111" i="10" l="1"/>
  <c r="Z18" i="10"/>
  <c r="Z10" i="10"/>
  <c r="Z17" i="10"/>
  <c r="Z61" i="10"/>
  <c r="Z42" i="10"/>
  <c r="Z67" i="10" l="1"/>
  <c r="Z56" i="10"/>
  <c r="Z94" i="10"/>
  <c r="Z98" i="10"/>
  <c r="Z39" i="10"/>
  <c r="Z64" i="10"/>
  <c r="Z95" i="10" l="1"/>
  <c r="Z104" i="10"/>
  <c r="X33" i="10" l="1"/>
  <c r="X35" i="10"/>
  <c r="X42" i="10"/>
  <c r="H6" i="10" l="1"/>
  <c r="Y111" i="10"/>
  <c r="Y114" i="10" s="1"/>
  <c r="X39" i="10"/>
  <c r="X20" i="10"/>
  <c r="X98" i="10"/>
  <c r="AG98" i="10" s="1"/>
  <c r="AH98" i="10" s="1"/>
  <c r="X84" i="10"/>
  <c r="X94" i="10"/>
  <c r="X22" i="10"/>
  <c r="X7" i="10"/>
  <c r="X27" i="10"/>
  <c r="X11" i="10"/>
  <c r="X48" i="10"/>
  <c r="X13" i="10"/>
  <c r="X10" i="10"/>
  <c r="X19" i="10"/>
  <c r="X17" i="10"/>
  <c r="X32" i="10"/>
  <c r="X46" i="10"/>
  <c r="X100" i="10"/>
  <c r="X50" i="10" l="1"/>
  <c r="X111" i="10" s="1"/>
  <c r="X114" i="10" s="1"/>
  <c r="W111" i="10" l="1"/>
  <c r="W114" i="10" s="1"/>
  <c r="V59" i="10" l="1"/>
  <c r="V54" i="10"/>
  <c r="V46" i="10"/>
  <c r="V18" i="10"/>
  <c r="V30" i="10"/>
  <c r="V94" i="10"/>
  <c r="V48" i="10"/>
  <c r="V11" i="10"/>
  <c r="V7" i="10"/>
  <c r="V35" i="10" l="1"/>
  <c r="V19" i="10"/>
  <c r="V111" i="10" s="1"/>
  <c r="V114" i="10" s="1"/>
  <c r="T94" i="10" l="1"/>
  <c r="T7" i="10"/>
  <c r="U111" i="10" l="1"/>
  <c r="U114" i="10" s="1"/>
  <c r="T35" i="10" l="1"/>
  <c r="T95" i="10"/>
  <c r="T33" i="10"/>
  <c r="T11" i="10"/>
  <c r="T48" i="10"/>
  <c r="AG48" i="10" s="1"/>
  <c r="AH48" i="10" s="1"/>
  <c r="T21" i="10" l="1"/>
  <c r="AG21" i="10" s="1"/>
  <c r="AH21" i="10" s="1"/>
  <c r="AC109" i="10"/>
  <c r="T42" i="10" l="1"/>
  <c r="T8" i="10"/>
  <c r="T6" i="10"/>
  <c r="T13" i="10" l="1"/>
  <c r="T17" i="10" l="1"/>
  <c r="T49" i="10"/>
  <c r="T46" i="10"/>
  <c r="T111" i="10" l="1"/>
  <c r="R35" i="10"/>
  <c r="R64" i="10"/>
  <c r="AG64" i="10" s="1"/>
  <c r="AH64" i="10" s="1"/>
  <c r="R96" i="10"/>
  <c r="R46" i="10"/>
  <c r="AC108" i="10" l="1"/>
  <c r="AC106" i="10"/>
  <c r="AC107" i="10"/>
  <c r="S111" i="10"/>
  <c r="S114" i="10" s="1"/>
  <c r="S116" i="10" s="1"/>
  <c r="R55" i="10"/>
  <c r="R7" i="10"/>
  <c r="R36" i="10"/>
  <c r="R101" i="10"/>
  <c r="R20" i="10"/>
  <c r="AG20" i="10" s="1"/>
  <c r="AH20" i="10" s="1"/>
  <c r="R84" i="10"/>
  <c r="R39" i="10"/>
  <c r="R52" i="10"/>
  <c r="R75" i="10"/>
  <c r="R30" i="10"/>
  <c r="R13" i="10"/>
  <c r="R24" i="10"/>
  <c r="R50" i="10"/>
  <c r="R45" i="10"/>
  <c r="AC101" i="10" l="1"/>
  <c r="AG101" i="10"/>
  <c r="AH101" i="10" s="1"/>
  <c r="B105" i="13"/>
  <c r="AC105" i="13" s="1"/>
  <c r="B100" i="13"/>
  <c r="B106" i="13"/>
  <c r="B107" i="13"/>
  <c r="AC107" i="13" s="1"/>
  <c r="R17" i="10"/>
  <c r="R27" i="10"/>
  <c r="R94" i="10"/>
  <c r="R11" i="10"/>
  <c r="R14" i="10"/>
  <c r="R28" i="10"/>
  <c r="AE105" i="13" l="1"/>
  <c r="AH105" i="13" s="1"/>
  <c r="B108" i="14" s="1"/>
  <c r="AE108" i="14" s="1"/>
  <c r="AE107" i="13"/>
  <c r="AH107" i="13" s="1"/>
  <c r="B110" i="14" s="1"/>
  <c r="AE110" i="14" s="1"/>
  <c r="AC106" i="13"/>
  <c r="AE106" i="13"/>
  <c r="AH106" i="13" s="1"/>
  <c r="B109" i="14" s="1"/>
  <c r="AE109" i="14" s="1"/>
  <c r="AC100" i="13"/>
  <c r="AE100" i="13"/>
  <c r="AH100" i="13" s="1"/>
  <c r="R111" i="10"/>
  <c r="P104" i="10"/>
  <c r="P94" i="10"/>
  <c r="P84" i="10"/>
  <c r="Q111" i="10" l="1"/>
  <c r="Q114" i="10" s="1"/>
  <c r="Q115" i="10" s="1"/>
  <c r="P10" i="10"/>
  <c r="P28" i="10"/>
  <c r="AG28" i="10" s="1"/>
  <c r="AH28" i="10" s="1"/>
  <c r="P49" i="10"/>
  <c r="AG49" i="10" s="1"/>
  <c r="AH49" i="10" s="1"/>
  <c r="P46" i="10"/>
  <c r="P95" i="10"/>
  <c r="P11" i="10"/>
  <c r="P35" i="10" l="1"/>
  <c r="P7" i="10" l="1"/>
  <c r="P14" i="10"/>
  <c r="P100" i="10"/>
  <c r="P75" i="10" l="1"/>
  <c r="P60" i="10"/>
  <c r="P27" i="10" l="1"/>
  <c r="P111" i="10" s="1"/>
  <c r="N96" i="10" l="1"/>
  <c r="N7" i="10"/>
  <c r="N35" i="10" l="1"/>
  <c r="N75" i="10"/>
  <c r="AG75" i="10" s="1"/>
  <c r="AH75" i="10" s="1"/>
  <c r="N94" i="10"/>
  <c r="O111" i="10"/>
  <c r="O114" i="10" s="1"/>
  <c r="N39" i="10" l="1"/>
  <c r="N30" i="10"/>
  <c r="N67" i="10"/>
  <c r="N54" i="10"/>
  <c r="N13" i="10" l="1"/>
  <c r="N27" i="10"/>
  <c r="N17" i="10" l="1"/>
  <c r="N8" i="10"/>
  <c r="N34" i="10" l="1"/>
  <c r="AG34" i="10" s="1"/>
  <c r="AH34" i="10" s="1"/>
  <c r="N24" i="10"/>
  <c r="AG24" i="10" s="1"/>
  <c r="AH24" i="10" s="1"/>
  <c r="N84" i="10" l="1"/>
  <c r="AG84" i="10" s="1"/>
  <c r="AH84" i="10" s="1"/>
  <c r="N22" i="10"/>
  <c r="N36" i="10"/>
  <c r="AG36" i="10" s="1"/>
  <c r="AH36" i="10" s="1"/>
  <c r="N104" i="10"/>
  <c r="AG104" i="10" s="1"/>
  <c r="AH104" i="10" s="1"/>
  <c r="N45" i="10"/>
  <c r="AG45" i="10" s="1"/>
  <c r="AH45" i="10" s="1"/>
  <c r="N46" i="10"/>
  <c r="N111" i="10" l="1"/>
  <c r="N115" i="10" s="1"/>
  <c r="L7" i="10"/>
  <c r="L52" i="10"/>
  <c r="L35" i="10"/>
  <c r="M111" i="10" l="1"/>
  <c r="M114" i="10" s="1"/>
  <c r="L94" i="10"/>
  <c r="L71" i="10"/>
  <c r="AG71" i="10" s="1"/>
  <c r="AH71" i="10" s="1"/>
  <c r="L6" i="10"/>
  <c r="L17" i="10"/>
  <c r="L46" i="10"/>
  <c r="L110" i="10"/>
  <c r="AG110" i="10" s="1"/>
  <c r="AH110" i="10" s="1"/>
  <c r="L42" i="10"/>
  <c r="L60" i="10"/>
  <c r="L27" i="10"/>
  <c r="AG27" i="10" s="1"/>
  <c r="AH27" i="10" s="1"/>
  <c r="L11" i="10" l="1"/>
  <c r="L8" i="10"/>
  <c r="L111" i="10" s="1"/>
  <c r="L115" i="10" s="1"/>
  <c r="F42" i="10" l="1"/>
  <c r="J32" i="10" l="1"/>
  <c r="J7" i="10"/>
  <c r="J54" i="10"/>
  <c r="AG54" i="10" s="1"/>
  <c r="AH54" i="10" s="1"/>
  <c r="J19" i="10"/>
  <c r="J35" i="10"/>
  <c r="J94" i="10"/>
  <c r="J17" i="10"/>
  <c r="J30" i="10"/>
  <c r="AG30" i="10" s="1"/>
  <c r="AH30" i="10" s="1"/>
  <c r="J96" i="10"/>
  <c r="AG96" i="10" s="1"/>
  <c r="AH96" i="10" s="1"/>
  <c r="J56" i="10"/>
  <c r="AG56" i="10" s="1"/>
  <c r="AH56" i="10" s="1"/>
  <c r="J39" i="10"/>
  <c r="J50" i="10"/>
  <c r="J59" i="10"/>
  <c r="AG59" i="10" s="1"/>
  <c r="AH59" i="10" s="1"/>
  <c r="J46" i="10"/>
  <c r="J95" i="10"/>
  <c r="AG95" i="10" s="1"/>
  <c r="AH95" i="10" s="1"/>
  <c r="J8" i="10"/>
  <c r="K111" i="10" l="1"/>
  <c r="K114" i="10" s="1"/>
  <c r="K116" i="10" s="1"/>
  <c r="J11" i="10" l="1"/>
  <c r="J18" i="10"/>
  <c r="AG18" i="10" s="1"/>
  <c r="AH18" i="10" s="1"/>
  <c r="J111" i="10" l="1"/>
  <c r="K117" i="10" s="1"/>
  <c r="AC105" i="10"/>
  <c r="AC104" i="10"/>
  <c r="AC103" i="10"/>
  <c r="I111" i="10"/>
  <c r="I114" i="10" s="1"/>
  <c r="B102" i="13" l="1"/>
  <c r="H17" i="10"/>
  <c r="H8" i="10"/>
  <c r="AC104" i="13" l="1"/>
  <c r="AE104" i="13"/>
  <c r="AH104" i="13" s="1"/>
  <c r="B107" i="14" s="1"/>
  <c r="AE107" i="14" s="1"/>
  <c r="AC102" i="13"/>
  <c r="AE102" i="13"/>
  <c r="AH102" i="13" s="1"/>
  <c r="B105" i="14" s="1"/>
  <c r="AE105" i="14" s="1"/>
  <c r="AC103" i="13"/>
  <c r="AE103" i="13"/>
  <c r="AH103" i="13" s="1"/>
  <c r="B106" i="14" s="1"/>
  <c r="AE106" i="14" s="1"/>
  <c r="F33" i="10"/>
  <c r="H55" i="10"/>
  <c r="AG55" i="10" s="1"/>
  <c r="AH55" i="10" s="1"/>
  <c r="H61" i="10"/>
  <c r="H33" i="10"/>
  <c r="H7" i="10"/>
  <c r="H94" i="10"/>
  <c r="H35" i="10"/>
  <c r="H11" i="10"/>
  <c r="H39" i="10"/>
  <c r="AG39" i="10" s="1"/>
  <c r="AH39" i="10" s="1"/>
  <c r="H46" i="10"/>
  <c r="H10" i="10" l="1"/>
  <c r="H52" i="10"/>
  <c r="AG52" i="10" s="1"/>
  <c r="AH52" i="10" s="1"/>
  <c r="F32" i="9" l="1"/>
  <c r="D7" i="9" l="1"/>
  <c r="G111" i="10" l="1"/>
  <c r="F86" i="10" l="1"/>
  <c r="AG86" i="10" s="1"/>
  <c r="AH86" i="10" s="1"/>
  <c r="F35" i="10"/>
  <c r="F7" i="10"/>
  <c r="F94" i="10"/>
  <c r="F13" i="10"/>
  <c r="AG13" i="10" s="1"/>
  <c r="AH13" i="10" s="1"/>
  <c r="F8" i="10" l="1"/>
  <c r="F11" i="10"/>
  <c r="F50" i="10"/>
  <c r="AG50" i="10" s="1"/>
  <c r="AH50" i="10" s="1"/>
  <c r="F6" i="10"/>
  <c r="AG6" i="10" s="1"/>
  <c r="F46" i="10"/>
  <c r="AH6" i="10" l="1"/>
  <c r="F100" i="10"/>
  <c r="AG100" i="10" s="1"/>
  <c r="AH100" i="10" s="1"/>
  <c r="F61" i="10"/>
  <c r="F111" i="10" l="1"/>
  <c r="AG61" i="10"/>
  <c r="AH61" i="10" s="1"/>
  <c r="E111" i="10"/>
  <c r="D17" i="10"/>
  <c r="AG17" i="10" s="1"/>
  <c r="AH17" i="10" s="1"/>
  <c r="D33" i="10"/>
  <c r="AG33" i="10" s="1"/>
  <c r="AH33" i="10" s="1"/>
  <c r="D67" i="10"/>
  <c r="AG67" i="10" s="1"/>
  <c r="AH67" i="10" s="1"/>
  <c r="D46" i="10"/>
  <c r="AG46" i="10" s="1"/>
  <c r="AH46" i="10" s="1"/>
  <c r="D94" i="10"/>
  <c r="AG94" i="10" s="1"/>
  <c r="AH94" i="10" s="1"/>
  <c r="D11" i="10"/>
  <c r="AG11" i="10" s="1"/>
  <c r="AH11" i="10" s="1"/>
  <c r="D60" i="10" l="1"/>
  <c r="AG60" i="10" s="1"/>
  <c r="AH60" i="10" s="1"/>
  <c r="D42" i="10"/>
  <c r="AG42" i="10" s="1"/>
  <c r="AH42" i="10" s="1"/>
  <c r="D35" i="10"/>
  <c r="AG35" i="10" s="1"/>
  <c r="AH35" i="10" s="1"/>
  <c r="D32" i="10"/>
  <c r="AG32" i="10" s="1"/>
  <c r="AH32" i="10" s="1"/>
  <c r="D22" i="10"/>
  <c r="AG22" i="10" s="1"/>
  <c r="AH22" i="10" s="1"/>
  <c r="D19" i="10"/>
  <c r="AG19" i="10" s="1"/>
  <c r="AH19" i="10" s="1"/>
  <c r="D14" i="10"/>
  <c r="AG14" i="10" s="1"/>
  <c r="AH14" i="10" s="1"/>
  <c r="D10" i="10"/>
  <c r="AG10" i="10" s="1"/>
  <c r="AH10" i="10" s="1"/>
  <c r="D8" i="10"/>
  <c r="AG8" i="10" s="1"/>
  <c r="AH8" i="10" s="1"/>
  <c r="D7" i="10"/>
  <c r="AG7" i="10" s="1"/>
  <c r="AA111" i="10"/>
  <c r="AA114" i="10" s="1"/>
  <c r="G114" i="10"/>
  <c r="E114" i="10"/>
  <c r="C111" i="10"/>
  <c r="Z111" i="10"/>
  <c r="R114" i="10"/>
  <c r="H111" i="10"/>
  <c r="AH7" i="10" l="1"/>
  <c r="AH111" i="10" s="1"/>
  <c r="AG111" i="10"/>
  <c r="D111" i="10"/>
  <c r="AC22" i="10"/>
  <c r="Z75" i="9"/>
  <c r="N39" i="9"/>
  <c r="F33" i="9"/>
  <c r="Z33" i="9"/>
  <c r="U1" i="9" l="1"/>
  <c r="AC22" i="13" l="1"/>
  <c r="AE22" i="13"/>
  <c r="AH22" i="13" s="1"/>
  <c r="B26" i="14" s="1"/>
  <c r="AE26" i="14" s="1"/>
  <c r="Z7" i="9"/>
  <c r="Z49" i="9" l="1"/>
  <c r="Z35" i="9"/>
  <c r="Z36" i="9"/>
  <c r="Z22" i="9"/>
  <c r="Z11" i="9"/>
  <c r="AB104" i="9"/>
  <c r="AB107" i="9" s="1"/>
  <c r="AB110" i="9" s="1"/>
  <c r="AC99" i="9" l="1"/>
  <c r="B99" i="10" s="1"/>
  <c r="AC99" i="10" s="1"/>
  <c r="AC100" i="9"/>
  <c r="B100" i="10" s="1"/>
  <c r="AC100" i="10" s="1"/>
  <c r="AC101" i="9"/>
  <c r="AC102" i="9"/>
  <c r="B102" i="10" s="1"/>
  <c r="AC102" i="10" s="1"/>
  <c r="AC103" i="9"/>
  <c r="B110" i="10" s="1"/>
  <c r="AC110" i="10" s="1"/>
  <c r="B99" i="13" l="1"/>
  <c r="B101" i="13"/>
  <c r="B98" i="13"/>
  <c r="Z55" i="9"/>
  <c r="Z84" i="9"/>
  <c r="Z15" i="9"/>
  <c r="Z28" i="9"/>
  <c r="Z71" i="9"/>
  <c r="Z34" i="9"/>
  <c r="Z94" i="9"/>
  <c r="AC98" i="13" l="1"/>
  <c r="AE98" i="13"/>
  <c r="AH98" i="13" s="1"/>
  <c r="AC101" i="13"/>
  <c r="AE101" i="13"/>
  <c r="AH101" i="13" s="1"/>
  <c r="B104" i="14" s="1"/>
  <c r="AE104" i="14" s="1"/>
  <c r="AC112" i="13"/>
  <c r="AE112" i="13"/>
  <c r="AH112" i="13" s="1"/>
  <c r="B114" i="14" s="1"/>
  <c r="AE114" i="14" s="1"/>
  <c r="AC99" i="13"/>
  <c r="AE99" i="13"/>
  <c r="AH99" i="13" s="1"/>
  <c r="B102" i="14" s="1"/>
  <c r="AE102" i="14" s="1"/>
  <c r="Z50" i="9"/>
  <c r="Z98" i="9"/>
  <c r="Z59" i="9"/>
  <c r="Z30" i="9"/>
  <c r="Z17" i="9"/>
  <c r="Z86" i="9"/>
  <c r="Z45" i="9"/>
  <c r="Z27" i="9"/>
  <c r="Z20" i="9"/>
  <c r="Z95" i="9" l="1"/>
  <c r="Z52" i="9"/>
  <c r="Z13" i="9"/>
  <c r="Z39" i="9"/>
  <c r="Z48" i="9"/>
  <c r="Z14" i="9"/>
  <c r="Z32" i="9"/>
  <c r="Z46" i="9"/>
  <c r="Z54" i="9"/>
  <c r="Z60" i="9"/>
  <c r="AA104" i="9"/>
  <c r="AA107" i="9" s="1"/>
  <c r="Z104" i="9" l="1"/>
  <c r="Z106" i="9" s="1"/>
  <c r="T96" i="9"/>
  <c r="X96" i="9"/>
  <c r="Y104" i="9" l="1"/>
  <c r="Y107" i="9" s="1"/>
  <c r="X39" i="9" l="1"/>
  <c r="X61" i="9"/>
  <c r="X56" i="9"/>
  <c r="X35" i="9"/>
  <c r="X34" i="9"/>
  <c r="X52" i="9"/>
  <c r="X7" i="9"/>
  <c r="X94" i="9"/>
  <c r="X67" i="9"/>
  <c r="X10" i="9"/>
  <c r="X20" i="9"/>
  <c r="X42" i="9"/>
  <c r="X22" i="9"/>
  <c r="X48" i="9"/>
  <c r="X75" i="9"/>
  <c r="X36" i="9"/>
  <c r="X84" i="9"/>
  <c r="X104" i="9" l="1"/>
  <c r="V46" i="9"/>
  <c r="V7" i="9"/>
  <c r="V94" i="9"/>
  <c r="V18" i="9"/>
  <c r="V17" i="9"/>
  <c r="V104" i="9" l="1"/>
  <c r="W104" i="9"/>
  <c r="W107" i="9" s="1"/>
  <c r="U104" i="9" l="1"/>
  <c r="U107" i="9" s="1"/>
  <c r="V107" i="9" s="1"/>
  <c r="T18" i="9" l="1"/>
  <c r="T30" i="9"/>
  <c r="T14" i="9"/>
  <c r="T46" i="9"/>
  <c r="T98" i="9"/>
  <c r="T11" i="9"/>
  <c r="T84" i="9"/>
  <c r="T35" i="9"/>
  <c r="T7" i="9"/>
  <c r="T104" i="9" l="1"/>
  <c r="S104" i="9"/>
  <c r="S107" i="9" s="1"/>
  <c r="R24" i="9" l="1"/>
  <c r="R86" i="9"/>
  <c r="R36" i="9"/>
  <c r="R35" i="9"/>
  <c r="R7" i="9"/>
  <c r="R95" i="9" l="1"/>
  <c r="R104" i="9" s="1"/>
  <c r="Q104" i="9" l="1"/>
  <c r="Q107" i="9" s="1"/>
  <c r="P56" i="9" l="1"/>
  <c r="P94" i="9"/>
  <c r="P32" i="9"/>
  <c r="P61" i="9"/>
  <c r="P60" i="9"/>
  <c r="P6" i="9"/>
  <c r="P7" i="9"/>
  <c r="P22" i="9"/>
  <c r="P35" i="9"/>
  <c r="P42" i="9"/>
  <c r="P10" i="9"/>
  <c r="O104" i="9" l="1"/>
  <c r="O107" i="9" s="1"/>
  <c r="P107" i="9" l="1"/>
  <c r="P20" i="9"/>
  <c r="P14" i="9"/>
  <c r="P55" i="9"/>
  <c r="P46" i="9"/>
  <c r="P104" i="9" l="1"/>
  <c r="N49" i="9"/>
  <c r="N60" i="9"/>
  <c r="N33" i="9"/>
  <c r="N11" i="9"/>
  <c r="N7" i="9"/>
  <c r="N54" i="9"/>
  <c r="N30" i="9" l="1"/>
  <c r="N34" i="9"/>
  <c r="N84" i="9"/>
  <c r="N94" i="9"/>
  <c r="N22" i="9"/>
  <c r="N86" i="9" l="1"/>
  <c r="N48" i="9"/>
  <c r="N104" i="9" s="1"/>
  <c r="L7" i="9" l="1"/>
  <c r="M104" i="9" l="1"/>
  <c r="M107" i="9" s="1"/>
  <c r="H39" i="9" l="1"/>
  <c r="L18" i="9" l="1"/>
  <c r="L75" i="9"/>
  <c r="L84" i="9"/>
  <c r="L104" i="9" l="1"/>
  <c r="C104" i="9"/>
  <c r="E104" i="9"/>
  <c r="E107" i="9" s="1"/>
  <c r="G104" i="9"/>
  <c r="G107" i="9" s="1"/>
  <c r="I104" i="9"/>
  <c r="I107" i="9" s="1"/>
  <c r="K104" i="9"/>
  <c r="K107" i="9" s="1"/>
  <c r="C106" i="9" l="1"/>
  <c r="J84" i="9"/>
  <c r="J35" i="9"/>
  <c r="J18" i="9"/>
  <c r="R28" i="7" l="1"/>
  <c r="AB98" i="7" l="1"/>
  <c r="AC15" i="7" l="1"/>
  <c r="AC28" i="7"/>
  <c r="AC46" i="7"/>
  <c r="AC82" i="7"/>
  <c r="AC83" i="7"/>
  <c r="AC89" i="7"/>
  <c r="AC92" i="7"/>
  <c r="AC95" i="7"/>
  <c r="AC96" i="7"/>
  <c r="AC97" i="7"/>
  <c r="J11" i="9" l="1"/>
  <c r="J7" i="9"/>
  <c r="J27" i="9"/>
  <c r="J57" i="9"/>
  <c r="J42" i="9"/>
  <c r="J32" i="9"/>
  <c r="J14" i="9"/>
  <c r="J46" i="9"/>
  <c r="D23" i="9"/>
  <c r="AC23" i="9" s="1"/>
  <c r="B23" i="10" s="1"/>
  <c r="AC23" i="10" s="1"/>
  <c r="D38" i="9"/>
  <c r="Z20" i="7"/>
  <c r="B23" i="13" l="1"/>
  <c r="J104" i="9"/>
  <c r="H86" i="9"/>
  <c r="H95" i="9"/>
  <c r="H94" i="9"/>
  <c r="H48" i="9"/>
  <c r="H60" i="9"/>
  <c r="H67" i="9"/>
  <c r="H96" i="9"/>
  <c r="H49" i="9"/>
  <c r="H46" i="9"/>
  <c r="H35" i="9"/>
  <c r="H27" i="9"/>
  <c r="H56" i="9"/>
  <c r="H13" i="9"/>
  <c r="H17" i="9"/>
  <c r="H33" i="9"/>
  <c r="H21" i="9"/>
  <c r="H7" i="9"/>
  <c r="AC23" i="13" l="1"/>
  <c r="AE23" i="13"/>
  <c r="AH23" i="13" s="1"/>
  <c r="B27" i="14" s="1"/>
  <c r="AE27" i="14" s="1"/>
  <c r="H32" i="9"/>
  <c r="H11" i="9" l="1"/>
  <c r="H104" i="9" s="1"/>
  <c r="D35" i="9" l="1"/>
  <c r="D54" i="9"/>
  <c r="D94" i="9"/>
  <c r="D49" i="9"/>
  <c r="D46" i="9"/>
  <c r="D45" i="9"/>
  <c r="D32" i="9"/>
  <c r="D27" i="9"/>
  <c r="D33" i="9"/>
  <c r="D11" i="9"/>
  <c r="D104" i="9" l="1"/>
  <c r="F7" i="9"/>
  <c r="F94" i="9"/>
  <c r="F35" i="9"/>
  <c r="F11" i="9"/>
  <c r="F27" i="9"/>
  <c r="F10" i="9"/>
  <c r="F86" i="9"/>
  <c r="F104" i="9" l="1"/>
  <c r="L43" i="7"/>
  <c r="Z72" i="7" l="1"/>
  <c r="Z43" i="7"/>
  <c r="AD6" i="7"/>
  <c r="Z31" i="7"/>
  <c r="Z94" i="7"/>
  <c r="Z49" i="7"/>
  <c r="Z33" i="7"/>
  <c r="Z7" i="7"/>
  <c r="AA98" i="7"/>
  <c r="AA101" i="7" s="1"/>
  <c r="Z51" i="7" l="1"/>
  <c r="Z66" i="7"/>
  <c r="Z38" i="7"/>
  <c r="Z53" i="7"/>
  <c r="Z18" i="7"/>
  <c r="Z9" i="7"/>
  <c r="Z21" i="7" l="1"/>
  <c r="Z11" i="7"/>
  <c r="Y98" i="7" l="1"/>
  <c r="Y101" i="7" s="1"/>
  <c r="Y103" i="7" s="1"/>
  <c r="U98" i="7"/>
  <c r="U101" i="7" s="1"/>
  <c r="S98" i="7"/>
  <c r="S101" i="7" s="1"/>
  <c r="P98" i="7"/>
  <c r="P101" i="7" s="1"/>
  <c r="P103" i="7" s="1"/>
  <c r="N98" i="7"/>
  <c r="N101" i="7" s="1"/>
  <c r="N103" i="7" s="1"/>
  <c r="L98" i="7"/>
  <c r="L101" i="7" s="1"/>
  <c r="J98" i="7"/>
  <c r="J101" i="7" s="1"/>
  <c r="H98" i="7"/>
  <c r="H101" i="7" s="1"/>
  <c r="F98" i="7"/>
  <c r="D98" i="7"/>
  <c r="B83" i="9"/>
  <c r="AC83" i="9" s="1"/>
  <c r="B83" i="10" s="1"/>
  <c r="AC83" i="10" s="1"/>
  <c r="B47" i="9"/>
  <c r="AC47" i="9" s="1"/>
  <c r="B47" i="10" s="1"/>
  <c r="AC47" i="10" s="1"/>
  <c r="B70" i="9"/>
  <c r="AC70" i="9" s="1"/>
  <c r="B70" i="10" s="1"/>
  <c r="AC70" i="10" s="1"/>
  <c r="X94" i="7"/>
  <c r="V94" i="7"/>
  <c r="M94" i="7"/>
  <c r="K94" i="7"/>
  <c r="I94" i="7"/>
  <c r="G94" i="7"/>
  <c r="E94" i="7"/>
  <c r="C94" i="7"/>
  <c r="B89" i="9"/>
  <c r="AC89" i="9" s="1"/>
  <c r="B89" i="10" s="1"/>
  <c r="AC89" i="10" s="1"/>
  <c r="E91" i="7"/>
  <c r="B91" i="9"/>
  <c r="AC91" i="9" s="1"/>
  <c r="B91" i="10" s="1"/>
  <c r="AC91" i="10" s="1"/>
  <c r="I84" i="7"/>
  <c r="B63" i="9"/>
  <c r="AC63" i="9" s="1"/>
  <c r="B63" i="10" s="1"/>
  <c r="AC63" i="10" s="1"/>
  <c r="B77" i="9"/>
  <c r="AC77" i="9" s="1"/>
  <c r="B77" i="10" s="1"/>
  <c r="AC77" i="10" s="1"/>
  <c r="V80" i="7"/>
  <c r="K80" i="7"/>
  <c r="G80" i="7"/>
  <c r="G73" i="7"/>
  <c r="AC73" i="7" s="1"/>
  <c r="B64" i="9" s="1"/>
  <c r="AC64" i="9" s="1"/>
  <c r="B64" i="10" s="1"/>
  <c r="AC64" i="10" s="1"/>
  <c r="I72" i="7"/>
  <c r="C72" i="7"/>
  <c r="Z70" i="7"/>
  <c r="K70" i="7"/>
  <c r="X66" i="7"/>
  <c r="C66" i="7"/>
  <c r="X65" i="7"/>
  <c r="M65" i="7"/>
  <c r="I65" i="7"/>
  <c r="I62" i="7"/>
  <c r="V60" i="7"/>
  <c r="Z58" i="7"/>
  <c r="E58" i="7"/>
  <c r="V57" i="7"/>
  <c r="Z56" i="7"/>
  <c r="I56" i="7"/>
  <c r="Z55" i="7"/>
  <c r="X54" i="7"/>
  <c r="T54" i="7"/>
  <c r="M54" i="7"/>
  <c r="K54" i="7"/>
  <c r="G54" i="7"/>
  <c r="E54" i="7"/>
  <c r="I53" i="7"/>
  <c r="Z52" i="7"/>
  <c r="X51" i="7"/>
  <c r="R51" i="7"/>
  <c r="E51" i="7"/>
  <c r="X50" i="7"/>
  <c r="T50" i="7"/>
  <c r="C50" i="7"/>
  <c r="G49" i="7"/>
  <c r="Z47" i="7"/>
  <c r="T47" i="7"/>
  <c r="O47" i="7"/>
  <c r="O98" i="7" s="1"/>
  <c r="I47" i="7"/>
  <c r="B80" i="9"/>
  <c r="AC80" i="9" s="1"/>
  <c r="B80" i="10" s="1"/>
  <c r="AC80" i="10" s="1"/>
  <c r="I44" i="7"/>
  <c r="G44" i="7"/>
  <c r="W43" i="7"/>
  <c r="W98" i="7" s="1"/>
  <c r="W101" i="7" s="1"/>
  <c r="V41" i="7"/>
  <c r="K41" i="7"/>
  <c r="Z39" i="7"/>
  <c r="M39" i="7"/>
  <c r="G39" i="7"/>
  <c r="K38" i="7"/>
  <c r="I38" i="7"/>
  <c r="C38" i="7"/>
  <c r="T34" i="7"/>
  <c r="R34" i="7"/>
  <c r="Q34" i="7"/>
  <c r="Q98" i="7" s="1"/>
  <c r="Q101" i="7" s="1"/>
  <c r="I34" i="7"/>
  <c r="E34" i="7"/>
  <c r="T33" i="7"/>
  <c r="I33" i="7"/>
  <c r="C33" i="7"/>
  <c r="X31" i="7"/>
  <c r="V31" i="7"/>
  <c r="T31" i="7"/>
  <c r="M31" i="7"/>
  <c r="K31" i="7"/>
  <c r="I31" i="7"/>
  <c r="G31" i="7"/>
  <c r="E31" i="7"/>
  <c r="C31" i="7"/>
  <c r="X30" i="7"/>
  <c r="M30" i="7"/>
  <c r="I30" i="7"/>
  <c r="M29" i="7"/>
  <c r="B38" i="9"/>
  <c r="AC38" i="9" s="1"/>
  <c r="B38" i="10" s="1"/>
  <c r="AC38" i="10" s="1"/>
  <c r="I27" i="7"/>
  <c r="I25" i="7"/>
  <c r="X23" i="7"/>
  <c r="C23" i="7"/>
  <c r="X22" i="7"/>
  <c r="K22" i="7"/>
  <c r="C22" i="7"/>
  <c r="T20" i="7"/>
  <c r="K20" i="7"/>
  <c r="I20" i="7"/>
  <c r="E20" i="7"/>
  <c r="C20" i="7"/>
  <c r="T19" i="7"/>
  <c r="E18" i="7"/>
  <c r="I17" i="7"/>
  <c r="E17" i="7"/>
  <c r="C17" i="7"/>
  <c r="B24" i="9"/>
  <c r="AC24" i="9" s="1"/>
  <c r="B24" i="10" s="1"/>
  <c r="AC24" i="10" s="1"/>
  <c r="M14" i="7"/>
  <c r="G14" i="7"/>
  <c r="Z12" i="7"/>
  <c r="X12" i="7"/>
  <c r="T12" i="7"/>
  <c r="K12" i="7"/>
  <c r="G12" i="7"/>
  <c r="E12" i="7"/>
  <c r="X11" i="7"/>
  <c r="V11" i="7"/>
  <c r="T11" i="7"/>
  <c r="M11" i="7"/>
  <c r="K11" i="7"/>
  <c r="I11" i="7"/>
  <c r="G11" i="7"/>
  <c r="C11" i="7"/>
  <c r="Z10" i="7"/>
  <c r="M10" i="7"/>
  <c r="K10" i="7"/>
  <c r="I9" i="7"/>
  <c r="M8" i="7"/>
  <c r="K8" i="7"/>
  <c r="X7" i="7"/>
  <c r="T7" i="7"/>
  <c r="K7" i="7"/>
  <c r="X6" i="7"/>
  <c r="V6" i="7"/>
  <c r="T6" i="7"/>
  <c r="M6" i="7"/>
  <c r="K6" i="7"/>
  <c r="I6" i="7"/>
  <c r="G6" i="7"/>
  <c r="E6" i="7"/>
  <c r="C6" i="7"/>
  <c r="AC39" i="7" l="1"/>
  <c r="B91" i="13"/>
  <c r="B24" i="13"/>
  <c r="B64" i="13"/>
  <c r="AC77" i="13"/>
  <c r="B83" i="13"/>
  <c r="I98" i="7"/>
  <c r="B63" i="13"/>
  <c r="B89" i="13"/>
  <c r="B38" i="13"/>
  <c r="B70" i="13"/>
  <c r="AC19" i="7"/>
  <c r="B13" i="9" s="1"/>
  <c r="AC13" i="9" s="1"/>
  <c r="B13" i="10" s="1"/>
  <c r="AC13" i="10" s="1"/>
  <c r="AC22" i="7"/>
  <c r="B14" i="9" s="1"/>
  <c r="AC14" i="9" s="1"/>
  <c r="B14" i="10" s="1"/>
  <c r="AC14" i="10" s="1"/>
  <c r="AC34" i="7"/>
  <c r="B31" i="9" s="1"/>
  <c r="AC31" i="9" s="1"/>
  <c r="B31" i="10" s="1"/>
  <c r="AC31" i="10" s="1"/>
  <c r="AC31" i="7"/>
  <c r="B35" i="9" s="1"/>
  <c r="AC35" i="9" s="1"/>
  <c r="B35" i="10" s="1"/>
  <c r="AC35" i="10" s="1"/>
  <c r="AC33" i="7"/>
  <c r="B44" i="9" s="1"/>
  <c r="AC44" i="9" s="1"/>
  <c r="B44" i="10" s="1"/>
  <c r="AC44" i="10" s="1"/>
  <c r="V98" i="7"/>
  <c r="V103" i="7" s="1"/>
  <c r="AC6" i="7"/>
  <c r="B7" i="9" s="1"/>
  <c r="AC7" i="9" s="1"/>
  <c r="B7" i="10" s="1"/>
  <c r="AC7" i="10" s="1"/>
  <c r="AC72" i="7"/>
  <c r="B26" i="9" s="1"/>
  <c r="AC26" i="9" s="1"/>
  <c r="B26" i="10" s="1"/>
  <c r="AC26" i="10" s="1"/>
  <c r="E98" i="7"/>
  <c r="M98" i="7"/>
  <c r="C98" i="7"/>
  <c r="G98" i="7"/>
  <c r="K98" i="7"/>
  <c r="K102" i="7" s="1"/>
  <c r="T98" i="7"/>
  <c r="X98" i="7"/>
  <c r="X101" i="7" s="1"/>
  <c r="R98" i="7"/>
  <c r="B22" i="9"/>
  <c r="AC22" i="9" s="1"/>
  <c r="Z98" i="7"/>
  <c r="D100" i="7"/>
  <c r="D101" i="7" s="1"/>
  <c r="F100" i="7"/>
  <c r="F101" i="7" s="1"/>
  <c r="AC70" i="13" l="1"/>
  <c r="AE70" i="13"/>
  <c r="AH70" i="13" s="1"/>
  <c r="AE74" i="14" s="1"/>
  <c r="AC38" i="13"/>
  <c r="AE38" i="13"/>
  <c r="AH38" i="13" s="1"/>
  <c r="B42" i="14" s="1"/>
  <c r="AE42" i="14" s="1"/>
  <c r="AC63" i="13"/>
  <c r="AE63" i="13"/>
  <c r="AH63" i="13" s="1"/>
  <c r="B67" i="14" s="1"/>
  <c r="AE67" i="14" s="1"/>
  <c r="AC83" i="13"/>
  <c r="AE83" i="13"/>
  <c r="AH83" i="13" s="1"/>
  <c r="B87" i="14" s="1"/>
  <c r="AE87" i="14" s="1"/>
  <c r="AE77" i="13"/>
  <c r="AH77" i="13" s="1"/>
  <c r="B81" i="14" s="1"/>
  <c r="AE81" i="14" s="1"/>
  <c r="AC64" i="13"/>
  <c r="AE64" i="13"/>
  <c r="AH64" i="13" s="1"/>
  <c r="B68" i="14" s="1"/>
  <c r="AE68" i="14" s="1"/>
  <c r="AC24" i="13"/>
  <c r="AE24" i="13"/>
  <c r="AH24" i="13" s="1"/>
  <c r="B28" i="14" s="1"/>
  <c r="AE28" i="14" s="1"/>
  <c r="AC47" i="13"/>
  <c r="AE47" i="13"/>
  <c r="AH47" i="13" s="1"/>
  <c r="B51" i="14" s="1"/>
  <c r="AE51" i="14" s="1"/>
  <c r="AC89" i="13"/>
  <c r="AE89" i="13"/>
  <c r="AH89" i="13" s="1"/>
  <c r="B93" i="14" s="1"/>
  <c r="AE93" i="14" s="1"/>
  <c r="AC91" i="13"/>
  <c r="AE91" i="13"/>
  <c r="AH91" i="13" s="1"/>
  <c r="B95" i="14" s="1"/>
  <c r="AE95" i="14" s="1"/>
  <c r="AC80" i="13"/>
  <c r="AE80" i="13"/>
  <c r="AH80" i="13" s="1"/>
  <c r="B44" i="13"/>
  <c r="B35" i="13"/>
  <c r="B7" i="13"/>
  <c r="B31" i="13"/>
  <c r="B14" i="13"/>
  <c r="AC14" i="13" s="1"/>
  <c r="B13" i="13"/>
  <c r="AE69" i="3"/>
  <c r="AE14" i="13" l="1"/>
  <c r="AH14" i="13" s="1"/>
  <c r="B14" i="14" s="1"/>
  <c r="AE14" i="14" s="1"/>
  <c r="AC35" i="13"/>
  <c r="AE35" i="13"/>
  <c r="AH35" i="13" s="1"/>
  <c r="B39" i="14" s="1"/>
  <c r="AE39" i="14" s="1"/>
  <c r="AC44" i="13"/>
  <c r="AE44" i="13"/>
  <c r="AH44" i="13" s="1"/>
  <c r="AC26" i="13"/>
  <c r="AE26" i="13"/>
  <c r="AH26" i="13" s="1"/>
  <c r="B30" i="14" s="1"/>
  <c r="AE30" i="14" s="1"/>
  <c r="AC13" i="13"/>
  <c r="AE13" i="13"/>
  <c r="AH13" i="13" s="1"/>
  <c r="B13" i="14" s="1"/>
  <c r="AE13" i="14" s="1"/>
  <c r="AC31" i="13"/>
  <c r="AE31" i="13"/>
  <c r="AH31" i="13" s="1"/>
  <c r="B35" i="14" s="1"/>
  <c r="AE35" i="14" s="1"/>
  <c r="AC7" i="13"/>
  <c r="AE7" i="13"/>
  <c r="AH7" i="13" s="1"/>
  <c r="B7" i="14" s="1"/>
  <c r="AE7" i="14" s="1"/>
  <c r="AE72" i="3"/>
  <c r="AE36" i="3"/>
  <c r="AE27" i="3"/>
  <c r="H92" i="5" l="1"/>
  <c r="G92" i="5"/>
  <c r="E92" i="5"/>
  <c r="D92" i="5"/>
  <c r="C92" i="5"/>
  <c r="B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F4" i="5"/>
  <c r="F92" i="5" s="1"/>
  <c r="I3" i="5"/>
  <c r="I2" i="5"/>
  <c r="I1" i="5"/>
  <c r="AA91" i="3"/>
  <c r="Y91" i="3"/>
  <c r="W91" i="3"/>
  <c r="U91" i="3"/>
  <c r="S91" i="3"/>
  <c r="Q91" i="3"/>
  <c r="O91" i="3"/>
  <c r="M91" i="3"/>
  <c r="K91" i="3"/>
  <c r="I91" i="3"/>
  <c r="G91" i="3"/>
  <c r="B91" i="3"/>
  <c r="AB90" i="3"/>
  <c r="I89" i="3"/>
  <c r="AB88" i="3"/>
  <c r="AB87" i="3"/>
  <c r="AC87" i="3" s="1"/>
  <c r="AB86" i="3"/>
  <c r="AD86" i="3" s="1"/>
  <c r="AB85" i="3"/>
  <c r="AB84" i="3"/>
  <c r="AB83" i="3"/>
  <c r="AC83" i="3" s="1"/>
  <c r="AB82" i="3"/>
  <c r="AB81" i="3"/>
  <c r="AB80" i="3"/>
  <c r="AC80" i="3" s="1"/>
  <c r="AB79" i="3"/>
  <c r="AB78" i="3"/>
  <c r="AB77" i="3"/>
  <c r="AB76" i="3"/>
  <c r="AD76" i="3" s="1"/>
  <c r="X75" i="3"/>
  <c r="V75" i="3"/>
  <c r="R75" i="3"/>
  <c r="N75" i="3"/>
  <c r="J75" i="3"/>
  <c r="V74" i="3"/>
  <c r="R74" i="3"/>
  <c r="P74" i="3"/>
  <c r="N74" i="3"/>
  <c r="Z73" i="3"/>
  <c r="X73" i="3"/>
  <c r="P73" i="3"/>
  <c r="N73" i="3"/>
  <c r="X72" i="3"/>
  <c r="V72" i="3"/>
  <c r="T72" i="3"/>
  <c r="D72" i="3"/>
  <c r="AB71" i="3"/>
  <c r="X70" i="3"/>
  <c r="J70" i="3"/>
  <c r="P69" i="3"/>
  <c r="J69" i="3"/>
  <c r="D69" i="3"/>
  <c r="Z68" i="3"/>
  <c r="AB68" i="3" s="1"/>
  <c r="P67" i="3"/>
  <c r="J67" i="3"/>
  <c r="AB66" i="3"/>
  <c r="H65" i="3"/>
  <c r="AB65" i="3" s="1"/>
  <c r="R64" i="3"/>
  <c r="N64" i="3"/>
  <c r="AB63" i="3"/>
  <c r="E62" i="3"/>
  <c r="AB62" i="3" s="1"/>
  <c r="AB61" i="3"/>
  <c r="E60" i="3"/>
  <c r="AB60" i="3" s="1"/>
  <c r="AB59" i="3"/>
  <c r="AD59" i="3" s="1"/>
  <c r="X58" i="3"/>
  <c r="V58" i="3"/>
  <c r="D58" i="3"/>
  <c r="Z57" i="3"/>
  <c r="P57" i="3"/>
  <c r="L57" i="3"/>
  <c r="H57" i="3"/>
  <c r="Z56" i="3"/>
  <c r="R56" i="3"/>
  <c r="P56" i="3"/>
  <c r="D55" i="3"/>
  <c r="AB55" i="3" s="1"/>
  <c r="T54" i="3"/>
  <c r="L54" i="3"/>
  <c r="Z53" i="3"/>
  <c r="J53" i="3"/>
  <c r="AB53" i="3" s="1"/>
  <c r="AB52" i="3"/>
  <c r="AC51" i="3"/>
  <c r="AB51" i="3"/>
  <c r="L50" i="3"/>
  <c r="F50" i="3"/>
  <c r="Z49" i="3"/>
  <c r="V49" i="3"/>
  <c r="R49" i="3"/>
  <c r="N49" i="3"/>
  <c r="L48" i="3"/>
  <c r="J48" i="3"/>
  <c r="T47" i="3"/>
  <c r="L47" i="3"/>
  <c r="R46" i="3"/>
  <c r="AB46" i="3" s="1"/>
  <c r="AC45" i="3"/>
  <c r="AB45" i="3"/>
  <c r="Z44" i="3"/>
  <c r="X44" i="3"/>
  <c r="V44" i="3"/>
  <c r="T44" i="3"/>
  <c r="R44" i="3"/>
  <c r="P44" i="3"/>
  <c r="N44" i="3"/>
  <c r="L44" i="3"/>
  <c r="J44" i="3"/>
  <c r="F44" i="3"/>
  <c r="D44" i="3"/>
  <c r="H43" i="3"/>
  <c r="AB43" i="3" s="1"/>
  <c r="X42" i="3"/>
  <c r="AB42" i="3" s="1"/>
  <c r="X41" i="3"/>
  <c r="N41" i="3"/>
  <c r="J41" i="3"/>
  <c r="D41" i="3"/>
  <c r="X40" i="3"/>
  <c r="R40" i="3"/>
  <c r="L40" i="3"/>
  <c r="R39" i="3"/>
  <c r="AB39" i="3" s="1"/>
  <c r="AB38" i="3"/>
  <c r="AB37" i="3"/>
  <c r="AC37" i="3" s="1"/>
  <c r="Z36" i="3"/>
  <c r="T36" i="3"/>
  <c r="L36" i="3"/>
  <c r="F36" i="3"/>
  <c r="D36" i="3"/>
  <c r="P35" i="3"/>
  <c r="AB35" i="3" s="1"/>
  <c r="R34" i="3"/>
  <c r="J34" i="3"/>
  <c r="Z33" i="3"/>
  <c r="X33" i="3"/>
  <c r="V33" i="3"/>
  <c r="T33" i="3"/>
  <c r="R33" i="3"/>
  <c r="P33" i="3"/>
  <c r="N33" i="3"/>
  <c r="L33" i="3"/>
  <c r="H33" i="3"/>
  <c r="F33" i="3"/>
  <c r="D33" i="3"/>
  <c r="F32" i="3"/>
  <c r="AB32" i="3" s="1"/>
  <c r="Z31" i="3"/>
  <c r="J31" i="3"/>
  <c r="Z30" i="3"/>
  <c r="X30" i="3"/>
  <c r="V30" i="3"/>
  <c r="R30" i="3"/>
  <c r="L30" i="3"/>
  <c r="AB29" i="3"/>
  <c r="Z28" i="3"/>
  <c r="X28" i="3"/>
  <c r="H28" i="3"/>
  <c r="F28" i="3"/>
  <c r="P27" i="3"/>
  <c r="H27" i="3"/>
  <c r="AB26" i="3"/>
  <c r="X25" i="3"/>
  <c r="R25" i="3"/>
  <c r="H25" i="3"/>
  <c r="Z24" i="3"/>
  <c r="P24" i="3"/>
  <c r="J24" i="3"/>
  <c r="H24" i="3"/>
  <c r="Z23" i="3"/>
  <c r="X23" i="3"/>
  <c r="V23" i="3"/>
  <c r="T23" i="3"/>
  <c r="F23" i="3"/>
  <c r="T22" i="3"/>
  <c r="P22" i="3"/>
  <c r="X21" i="3"/>
  <c r="N21" i="3"/>
  <c r="J21" i="3"/>
  <c r="Z20" i="3"/>
  <c r="L20" i="3"/>
  <c r="F20" i="3"/>
  <c r="D20" i="3"/>
  <c r="F19" i="3"/>
  <c r="AB19" i="3" s="1"/>
  <c r="Z18" i="3"/>
  <c r="X18" i="3"/>
  <c r="L18" i="3"/>
  <c r="H18" i="3"/>
  <c r="D18" i="3"/>
  <c r="AB17" i="3"/>
  <c r="AC17" i="3" s="1"/>
  <c r="R16" i="3"/>
  <c r="N16" i="3"/>
  <c r="Z15" i="3"/>
  <c r="X15" i="3"/>
  <c r="V15" i="3"/>
  <c r="T15" i="3"/>
  <c r="R15" i="3"/>
  <c r="P15" i="3"/>
  <c r="L15" i="3"/>
  <c r="J15" i="3"/>
  <c r="H15" i="3"/>
  <c r="X14" i="3"/>
  <c r="V14" i="3"/>
  <c r="T14" i="3"/>
  <c r="P14" i="3"/>
  <c r="L14" i="3"/>
  <c r="H14" i="3"/>
  <c r="F14" i="3"/>
  <c r="D14" i="3"/>
  <c r="Z13" i="3"/>
  <c r="L13" i="3"/>
  <c r="X12" i="3"/>
  <c r="AB12" i="3" s="1"/>
  <c r="F11" i="3"/>
  <c r="AB11" i="3" s="1"/>
  <c r="T10" i="3"/>
  <c r="P10" i="3"/>
  <c r="Z9" i="3"/>
  <c r="X9" i="3"/>
  <c r="V9" i="3"/>
  <c r="T9" i="3"/>
  <c r="R9" i="3"/>
  <c r="P9" i="3"/>
  <c r="N9" i="3"/>
  <c r="D9" i="3"/>
  <c r="P8" i="3"/>
  <c r="L8" i="3"/>
  <c r="H8" i="3"/>
  <c r="AC7" i="3"/>
  <c r="X7" i="3"/>
  <c r="F7" i="3"/>
  <c r="D7" i="3"/>
  <c r="Z6" i="3"/>
  <c r="X6" i="3"/>
  <c r="V6" i="3"/>
  <c r="T6" i="3"/>
  <c r="R6" i="3"/>
  <c r="L6" i="3"/>
  <c r="H6" i="3"/>
  <c r="F6" i="3"/>
  <c r="D6" i="3"/>
  <c r="C6" i="3"/>
  <c r="C91" i="3" s="1"/>
  <c r="F89" i="2"/>
  <c r="E89" i="2"/>
  <c r="D89" i="2"/>
  <c r="C89" i="2"/>
  <c r="B88" i="2"/>
  <c r="B11" i="2"/>
  <c r="B8" i="2"/>
  <c r="B7" i="2"/>
  <c r="Y79" i="1"/>
  <c r="W79" i="1"/>
  <c r="U79" i="1"/>
  <c r="S79" i="1"/>
  <c r="Q79" i="1"/>
  <c r="O79" i="1"/>
  <c r="M79" i="1"/>
  <c r="K79" i="1"/>
  <c r="I79" i="1"/>
  <c r="G79" i="1"/>
  <c r="AB78" i="1"/>
  <c r="AB77" i="1"/>
  <c r="AB76" i="1"/>
  <c r="Z75" i="1"/>
  <c r="T75" i="1"/>
  <c r="Z74" i="1"/>
  <c r="T74" i="1"/>
  <c r="Z73" i="1"/>
  <c r="AB73" i="1" s="1"/>
  <c r="AB72" i="1" s="1"/>
  <c r="X71" i="1"/>
  <c r="AB71" i="1" s="1"/>
  <c r="Z70" i="1"/>
  <c r="AB70" i="1" s="1"/>
  <c r="AA69" i="1"/>
  <c r="AA79" i="1" s="1"/>
  <c r="Z69" i="1"/>
  <c r="V69" i="1"/>
  <c r="X68" i="1"/>
  <c r="AB68" i="1" s="1"/>
  <c r="AB67" i="1" s="1"/>
  <c r="Z66" i="1"/>
  <c r="Z65" i="1"/>
  <c r="X65" i="1"/>
  <c r="R65" i="1"/>
  <c r="N65" i="1"/>
  <c r="L65" i="1"/>
  <c r="AB64" i="1"/>
  <c r="AB63" i="1"/>
  <c r="AB62" i="1"/>
  <c r="AB61" i="1" s="1"/>
  <c r="T60" i="1"/>
  <c r="L60" i="1"/>
  <c r="X59" i="1"/>
  <c r="Z58" i="1"/>
  <c r="T58" i="1"/>
  <c r="X57" i="1"/>
  <c r="R57" i="1"/>
  <c r="L56" i="1"/>
  <c r="Z55" i="1"/>
  <c r="H55" i="1"/>
  <c r="AB54" i="1" s="1"/>
  <c r="L53" i="1"/>
  <c r="J53" i="1"/>
  <c r="C53" i="1"/>
  <c r="X52" i="1"/>
  <c r="J52" i="1"/>
  <c r="C52" i="1"/>
  <c r="J51" i="1"/>
  <c r="Z50" i="1"/>
  <c r="N50" i="1"/>
  <c r="J50" i="1"/>
  <c r="Z49" i="1"/>
  <c r="AB48" i="1" s="1"/>
  <c r="AB47" i="1" s="1"/>
  <c r="Z46" i="1"/>
  <c r="X46" i="1"/>
  <c r="V46" i="1"/>
  <c r="T46" i="1"/>
  <c r="R46" i="1"/>
  <c r="L46" i="1"/>
  <c r="V45" i="1"/>
  <c r="T45" i="1"/>
  <c r="R45" i="1"/>
  <c r="Z44" i="1"/>
  <c r="T44" i="1"/>
  <c r="P44" i="1"/>
  <c r="J44" i="1"/>
  <c r="N43" i="1"/>
  <c r="J43" i="1"/>
  <c r="X42" i="1"/>
  <c r="R42" i="1"/>
  <c r="H42" i="1"/>
  <c r="AB41" i="1" s="1"/>
  <c r="F40" i="1"/>
  <c r="C40" i="1"/>
  <c r="AB39" i="1" s="1"/>
  <c r="T38" i="1"/>
  <c r="AB37" i="1" s="1"/>
  <c r="AB36" i="1"/>
  <c r="X35" i="1"/>
  <c r="V35" i="1"/>
  <c r="L35" i="1"/>
  <c r="J35" i="1"/>
  <c r="F35" i="1"/>
  <c r="AB34" i="1" s="1"/>
  <c r="J33" i="1"/>
  <c r="H33" i="1"/>
  <c r="Z32" i="1"/>
  <c r="R32" i="1"/>
  <c r="J32" i="1"/>
  <c r="R31" i="1"/>
  <c r="C31" i="1"/>
  <c r="Z30" i="1"/>
  <c r="H30" i="1"/>
  <c r="X29" i="1"/>
  <c r="J29" i="1"/>
  <c r="H29" i="1"/>
  <c r="F29" i="1"/>
  <c r="C29" i="1"/>
  <c r="AB28" i="1" s="1"/>
  <c r="R27" i="1"/>
  <c r="J27" i="1"/>
  <c r="Z26" i="1"/>
  <c r="T26" i="1"/>
  <c r="H26" i="1"/>
  <c r="AB25" i="1" s="1"/>
  <c r="AB24" i="1"/>
  <c r="Z23" i="1"/>
  <c r="L23" i="1"/>
  <c r="X22" i="1"/>
  <c r="P22" i="1"/>
  <c r="C22" i="1"/>
  <c r="AB21" i="1" s="1"/>
  <c r="N20" i="1"/>
  <c r="H20" i="1"/>
  <c r="AB19" i="1" s="1"/>
  <c r="AB18" i="1"/>
  <c r="Z17" i="1"/>
  <c r="Z16" i="1"/>
  <c r="X16" i="1"/>
  <c r="R16" i="1"/>
  <c r="N16" i="1"/>
  <c r="J16" i="1"/>
  <c r="Z15" i="1"/>
  <c r="X15" i="1"/>
  <c r="H15" i="1"/>
  <c r="F15" i="1"/>
  <c r="D15" i="1"/>
  <c r="C15" i="1"/>
  <c r="AB14" i="1"/>
  <c r="Z13" i="1"/>
  <c r="AB13" i="1" s="1"/>
  <c r="V12" i="1"/>
  <c r="R12" i="1"/>
  <c r="L12" i="1"/>
  <c r="H12" i="1"/>
  <c r="X11" i="1"/>
  <c r="J11" i="1"/>
  <c r="V10" i="1"/>
  <c r="T10" i="1"/>
  <c r="L10" i="1"/>
  <c r="D10" i="1"/>
  <c r="Z9" i="1"/>
  <c r="R9" i="1"/>
  <c r="H8" i="1"/>
  <c r="D8" i="1"/>
  <c r="AB7" i="1" s="1"/>
  <c r="Z6" i="1"/>
  <c r="T6" i="1"/>
  <c r="R6" i="1"/>
  <c r="N6" i="1"/>
  <c r="L6" i="1"/>
  <c r="H6" i="1"/>
  <c r="F6" i="1"/>
  <c r="E6" i="1"/>
  <c r="E79" i="1" s="1"/>
  <c r="C6" i="1"/>
  <c r="AB75" i="1" l="1"/>
  <c r="J60" i="5"/>
  <c r="P79" i="1"/>
  <c r="T79" i="1"/>
  <c r="AB17" i="1"/>
  <c r="F82" i="1"/>
  <c r="AB51" i="1"/>
  <c r="AB57" i="1"/>
  <c r="AB60" i="1"/>
  <c r="AB74" i="1"/>
  <c r="AB27" i="3"/>
  <c r="AD27" i="3" s="1"/>
  <c r="AB31" i="3"/>
  <c r="AD31" i="3" s="1"/>
  <c r="AB28" i="3"/>
  <c r="B71" i="7" s="1"/>
  <c r="AB34" i="3"/>
  <c r="AB48" i="3"/>
  <c r="AB72" i="3"/>
  <c r="AD72" i="3" s="1"/>
  <c r="I4" i="5"/>
  <c r="I92" i="5" s="1"/>
  <c r="AB23" i="1"/>
  <c r="C79" i="1"/>
  <c r="AB26" i="1"/>
  <c r="AB69" i="1"/>
  <c r="AB18" i="3"/>
  <c r="AB25" i="3"/>
  <c r="AB41" i="3"/>
  <c r="B51" i="7" s="1"/>
  <c r="AC51" i="7" s="1"/>
  <c r="B96" i="9" s="1"/>
  <c r="AC96" i="9" s="1"/>
  <c r="B96" i="10" s="1"/>
  <c r="AC96" i="10" s="1"/>
  <c r="AB67" i="3"/>
  <c r="AD67" i="3" s="1"/>
  <c r="R91" i="3"/>
  <c r="AB10" i="3"/>
  <c r="AB13" i="3"/>
  <c r="B26" i="7" s="1"/>
  <c r="AB22" i="3"/>
  <c r="AD22" i="3" s="1"/>
  <c r="AB54" i="3"/>
  <c r="AB74" i="3"/>
  <c r="AB27" i="1"/>
  <c r="AB31" i="1"/>
  <c r="AB40" i="1"/>
  <c r="AB43" i="1"/>
  <c r="W82" i="1"/>
  <c r="AB7" i="3"/>
  <c r="B10" i="7" s="1"/>
  <c r="AC10" i="7" s="1"/>
  <c r="B21" i="9" s="1"/>
  <c r="AC21" i="9" s="1"/>
  <c r="B21" i="10" s="1"/>
  <c r="AC21" i="10" s="1"/>
  <c r="AB23" i="3"/>
  <c r="AD23" i="3" s="1"/>
  <c r="AB58" i="3"/>
  <c r="AD58" i="3" s="1"/>
  <c r="AC60" i="3"/>
  <c r="AD60" i="3" s="1"/>
  <c r="B59" i="7"/>
  <c r="B18" i="7"/>
  <c r="AC18" i="7" s="1"/>
  <c r="B18" i="9" s="1"/>
  <c r="AC18" i="9" s="1"/>
  <c r="B18" i="10" s="1"/>
  <c r="AC18" i="10" s="1"/>
  <c r="B23" i="7"/>
  <c r="AC23" i="7" s="1"/>
  <c r="B98" i="9" s="1"/>
  <c r="AC98" i="9" s="1"/>
  <c r="B98" i="10" s="1"/>
  <c r="AC98" i="10" s="1"/>
  <c r="B91" i="7"/>
  <c r="AC91" i="7" s="1"/>
  <c r="B58" i="9" s="1"/>
  <c r="AC58" i="9" s="1"/>
  <c r="B58" i="10" s="1"/>
  <c r="AC58" i="10" s="1"/>
  <c r="AB6" i="1"/>
  <c r="X79" i="1"/>
  <c r="AB16" i="1"/>
  <c r="H91" i="3"/>
  <c r="B12" i="7"/>
  <c r="AC12" i="7" s="1"/>
  <c r="B33" i="9" s="1"/>
  <c r="AC33" i="9" s="1"/>
  <c r="B33" i="10" s="1"/>
  <c r="AC33" i="10" s="1"/>
  <c r="AB40" i="3"/>
  <c r="AD40" i="3" s="1"/>
  <c r="B60" i="7"/>
  <c r="AD46" i="3"/>
  <c r="B42" i="7"/>
  <c r="B52" i="7"/>
  <c r="AC52" i="7" s="1"/>
  <c r="B43" i="9" s="1"/>
  <c r="AC43" i="9" s="1"/>
  <c r="B43" i="10" s="1"/>
  <c r="AC43" i="10" s="1"/>
  <c r="AB73" i="3"/>
  <c r="AD73" i="3" s="1"/>
  <c r="AB75" i="3"/>
  <c r="B75" i="7"/>
  <c r="AD81" i="3"/>
  <c r="B45" i="7"/>
  <c r="AB32" i="1"/>
  <c r="AB53" i="1"/>
  <c r="AB56" i="1"/>
  <c r="AB59" i="1"/>
  <c r="B61" i="7"/>
  <c r="AB20" i="3"/>
  <c r="AB30" i="3"/>
  <c r="AD30" i="3" s="1"/>
  <c r="AB33" i="3"/>
  <c r="B50" i="7"/>
  <c r="AC50" i="7" s="1"/>
  <c r="B42" i="9" s="1"/>
  <c r="AC42" i="9" s="1"/>
  <c r="B42" i="10" s="1"/>
  <c r="AC42" i="10" s="1"/>
  <c r="AB47" i="3"/>
  <c r="AD47" i="3" s="1"/>
  <c r="AB50" i="3"/>
  <c r="B55" i="7"/>
  <c r="AC55" i="7" s="1"/>
  <c r="B61" i="9" s="1"/>
  <c r="AC61" i="9" s="1"/>
  <c r="B61" i="10" s="1"/>
  <c r="AC61" i="10" s="1"/>
  <c r="AB70" i="3"/>
  <c r="AD70" i="3" s="1"/>
  <c r="AD77" i="3"/>
  <c r="B74" i="7"/>
  <c r="AD87" i="3"/>
  <c r="B67" i="7"/>
  <c r="B80" i="7"/>
  <c r="AC80" i="7" s="1"/>
  <c r="B84" i="9" s="1"/>
  <c r="AC84" i="9" s="1"/>
  <c r="B84" i="10" s="1"/>
  <c r="AC84" i="10" s="1"/>
  <c r="AD66" i="3"/>
  <c r="B68" i="7"/>
  <c r="B58" i="7"/>
  <c r="AC58" i="7" s="1"/>
  <c r="B55" i="9" s="1"/>
  <c r="AC55" i="9" s="1"/>
  <c r="B55" i="10" s="1"/>
  <c r="AC55" i="10" s="1"/>
  <c r="B29" i="7"/>
  <c r="AC29" i="7" s="1"/>
  <c r="B32" i="9" s="1"/>
  <c r="AC32" i="9" s="1"/>
  <c r="B32" i="10" s="1"/>
  <c r="AC32" i="10" s="1"/>
  <c r="B63" i="7"/>
  <c r="B79" i="7"/>
  <c r="V91" i="3"/>
  <c r="B76" i="7"/>
  <c r="V79" i="1"/>
  <c r="AB46" i="1"/>
  <c r="AB49" i="1"/>
  <c r="AB52" i="1"/>
  <c r="AB6" i="3"/>
  <c r="B32" i="7"/>
  <c r="AC32" i="7" s="1"/>
  <c r="B75" i="9" s="1"/>
  <c r="AC75" i="9" s="1"/>
  <c r="B75" i="10" s="1"/>
  <c r="AC75" i="10" s="1"/>
  <c r="B77" i="7"/>
  <c r="AC77" i="7" s="1"/>
  <c r="B76" i="9" s="1"/>
  <c r="AC76" i="9" s="1"/>
  <c r="B76" i="10" s="1"/>
  <c r="AC76" i="10" s="1"/>
  <c r="B38" i="7"/>
  <c r="AC38" i="7" s="1"/>
  <c r="B34" i="9" s="1"/>
  <c r="AC34" i="9" s="1"/>
  <c r="B34" i="10" s="1"/>
  <c r="AC34" i="10" s="1"/>
  <c r="AB49" i="3"/>
  <c r="B37" i="7"/>
  <c r="B88" i="7"/>
  <c r="AD68" i="3"/>
  <c r="B43" i="7"/>
  <c r="AC43" i="7" s="1"/>
  <c r="B53" i="9" s="1"/>
  <c r="AC53" i="9" s="1"/>
  <c r="B53" i="10" s="1"/>
  <c r="AC53" i="10" s="1"/>
  <c r="B24" i="7"/>
  <c r="AC90" i="3"/>
  <c r="B90" i="7"/>
  <c r="B49" i="7"/>
  <c r="AC49" i="7" s="1"/>
  <c r="B52" i="9" s="1"/>
  <c r="AC52" i="9" s="1"/>
  <c r="B52" i="10" s="1"/>
  <c r="AC52" i="10" s="1"/>
  <c r="B85" i="7"/>
  <c r="B35" i="7"/>
  <c r="B30" i="7"/>
  <c r="AC30" i="7" s="1"/>
  <c r="B54" i="9" s="1"/>
  <c r="AC54" i="9" s="1"/>
  <c r="B54" i="10" s="1"/>
  <c r="AC54" i="10" s="1"/>
  <c r="B64" i="7"/>
  <c r="D79" i="1"/>
  <c r="AB56" i="3"/>
  <c r="AD56" i="3" s="1"/>
  <c r="AD62" i="3"/>
  <c r="AC79" i="3"/>
  <c r="AD79" i="3" s="1"/>
  <c r="B81" i="7"/>
  <c r="N79" i="1"/>
  <c r="AB11" i="1"/>
  <c r="AB42" i="1"/>
  <c r="D91" i="3"/>
  <c r="Z91" i="3"/>
  <c r="AB9" i="3"/>
  <c r="AD9" i="3" s="1"/>
  <c r="B5" i="7"/>
  <c r="AB14" i="3"/>
  <c r="AD14" i="3" s="1"/>
  <c r="AB15" i="3"/>
  <c r="AB21" i="3"/>
  <c r="AD21" i="3" s="1"/>
  <c r="B16" i="7"/>
  <c r="B57" i="7"/>
  <c r="AC57" i="7" s="1"/>
  <c r="B48" i="9" s="1"/>
  <c r="AC48" i="9" s="1"/>
  <c r="B48" i="10" s="1"/>
  <c r="AC48" i="10" s="1"/>
  <c r="AB36" i="3"/>
  <c r="AD36" i="3" s="1"/>
  <c r="B70" i="7"/>
  <c r="AC70" i="7" s="1"/>
  <c r="B95" i="9" s="1"/>
  <c r="AC95" i="9" s="1"/>
  <c r="B95" i="10" s="1"/>
  <c r="AC95" i="10" s="1"/>
  <c r="AB57" i="3"/>
  <c r="B69" i="7"/>
  <c r="AC63" i="3"/>
  <c r="B13" i="7"/>
  <c r="B86" i="7"/>
  <c r="AD85" i="3"/>
  <c r="AD90" i="3"/>
  <c r="AC61" i="3"/>
  <c r="AD61" i="3" s="1"/>
  <c r="B48" i="7"/>
  <c r="B87" i="7"/>
  <c r="B44" i="7"/>
  <c r="AC44" i="7" s="1"/>
  <c r="B39" i="9" s="1"/>
  <c r="AC39" i="9" s="1"/>
  <c r="B39" i="10" s="1"/>
  <c r="AC39" i="10" s="1"/>
  <c r="AB44" i="3"/>
  <c r="AD44" i="3" s="1"/>
  <c r="AC78" i="3"/>
  <c r="AD78" i="3" s="1"/>
  <c r="H79" i="1"/>
  <c r="AB8" i="3"/>
  <c r="B17" i="7"/>
  <c r="AC17" i="7" s="1"/>
  <c r="B16" i="9" s="1"/>
  <c r="AC16" i="9" s="1"/>
  <c r="B16" i="10" s="1"/>
  <c r="AC16" i="10" s="1"/>
  <c r="L79" i="1"/>
  <c r="AB9" i="1"/>
  <c r="AB22" i="1"/>
  <c r="J79" i="1"/>
  <c r="AB50" i="1"/>
  <c r="N91" i="3"/>
  <c r="AB16" i="3"/>
  <c r="AD16" i="3" s="1"/>
  <c r="AB24" i="3"/>
  <c r="AD26" i="3"/>
  <c r="AD29" i="3"/>
  <c r="B40" i="7"/>
  <c r="AB69" i="3"/>
  <c r="AD69" i="3" s="1"/>
  <c r="B78" i="7"/>
  <c r="AB20" i="1"/>
  <c r="AB44" i="1"/>
  <c r="AD20" i="3"/>
  <c r="AD25" i="3"/>
  <c r="AD32" i="3"/>
  <c r="AD34" i="3"/>
  <c r="AC35" i="3"/>
  <c r="AD35" i="3" s="1"/>
  <c r="AD43" i="3"/>
  <c r="AD48" i="3"/>
  <c r="F79" i="1"/>
  <c r="R79" i="1"/>
  <c r="Z79" i="1"/>
  <c r="AD10" i="3"/>
  <c r="AD19" i="3"/>
  <c r="AD53" i="3"/>
  <c r="AD54" i="3"/>
  <c r="AD74" i="3"/>
  <c r="AD45" i="3"/>
  <c r="AC88" i="3"/>
  <c r="AD88" i="3" s="1"/>
  <c r="AB8" i="1"/>
  <c r="AB10" i="1"/>
  <c r="AB12" i="1"/>
  <c r="AB15" i="1"/>
  <c r="AB29" i="1"/>
  <c r="AB30" i="1"/>
  <c r="AB33" i="1"/>
  <c r="AB35" i="1"/>
  <c r="AB38" i="1"/>
  <c r="AB45" i="1"/>
  <c r="AB55" i="1"/>
  <c r="AB58" i="1"/>
  <c r="AB65" i="1"/>
  <c r="AB66" i="1"/>
  <c r="F91" i="3"/>
  <c r="L91" i="3"/>
  <c r="L92" i="3" s="1"/>
  <c r="T91" i="3"/>
  <c r="X91" i="3"/>
  <c r="P91" i="3"/>
  <c r="AD12" i="3"/>
  <c r="J91" i="3"/>
  <c r="AD17" i="3"/>
  <c r="AD37" i="3"/>
  <c r="AC38" i="3"/>
  <c r="AD38" i="3" s="1"/>
  <c r="AD39" i="3"/>
  <c r="AD42" i="3"/>
  <c r="AD51" i="3"/>
  <c r="AD52" i="3"/>
  <c r="AD55" i="3"/>
  <c r="AB64" i="3"/>
  <c r="AD71" i="3"/>
  <c r="AD83" i="3"/>
  <c r="E91" i="3"/>
  <c r="J54" i="5"/>
  <c r="AD80" i="3"/>
  <c r="AE68" i="3"/>
  <c r="AE75" i="3"/>
  <c r="B89" i="2"/>
  <c r="AD18" i="3"/>
  <c r="AD11" i="3"/>
  <c r="B79" i="1"/>
  <c r="AB91" i="3" l="1"/>
  <c r="B93" i="7"/>
  <c r="AD28" i="3"/>
  <c r="AD7" i="3"/>
  <c r="B8" i="7"/>
  <c r="AC8" i="7" s="1"/>
  <c r="B10" i="9" s="1"/>
  <c r="AC10" i="9" s="1"/>
  <c r="B10" i="10" s="1"/>
  <c r="AC10" i="10" s="1"/>
  <c r="B10" i="13" s="1"/>
  <c r="AD13" i="3"/>
  <c r="AD41" i="3"/>
  <c r="B95" i="13"/>
  <c r="AC61" i="13"/>
  <c r="B18" i="13"/>
  <c r="B39" i="13"/>
  <c r="B94" i="13"/>
  <c r="B53" i="13"/>
  <c r="B43" i="13"/>
  <c r="B58" i="13"/>
  <c r="B16" i="13"/>
  <c r="B54" i="13"/>
  <c r="B34" i="13"/>
  <c r="AE34" i="13" s="1"/>
  <c r="AH34" i="13" s="1"/>
  <c r="B38" i="14" s="1"/>
  <c r="AE38" i="14" s="1"/>
  <c r="B32" i="13"/>
  <c r="B84" i="13"/>
  <c r="B48" i="13"/>
  <c r="B76" i="13"/>
  <c r="B55" i="13"/>
  <c r="B42" i="13"/>
  <c r="AC42" i="13" s="1"/>
  <c r="B33" i="13"/>
  <c r="W83" i="1"/>
  <c r="AC40" i="7"/>
  <c r="B40" i="9" s="1"/>
  <c r="AC40" i="9" s="1"/>
  <c r="B40" i="10" s="1"/>
  <c r="AC40" i="10" s="1"/>
  <c r="AC87" i="7"/>
  <c r="B88" i="9" s="1"/>
  <c r="AC88" i="9" s="1"/>
  <c r="B88" i="10" s="1"/>
  <c r="AC88" i="10" s="1"/>
  <c r="AC78" i="7"/>
  <c r="B81" i="9" s="1"/>
  <c r="AC81" i="9" s="1"/>
  <c r="B81" i="10" s="1"/>
  <c r="AC81" i="10" s="1"/>
  <c r="B7" i="7"/>
  <c r="AC7" i="7" s="1"/>
  <c r="AC71" i="7"/>
  <c r="B78" i="9" s="1"/>
  <c r="AC78" i="9" s="1"/>
  <c r="B78" i="10" s="1"/>
  <c r="AC78" i="10" s="1"/>
  <c r="AC16" i="7"/>
  <c r="B9" i="9" s="1"/>
  <c r="AC9" i="9" s="1"/>
  <c r="B9" i="10" s="1"/>
  <c r="AC9" i="10" s="1"/>
  <c r="AC90" i="7"/>
  <c r="B93" i="9" s="1"/>
  <c r="AC93" i="9" s="1"/>
  <c r="B93" i="10" s="1"/>
  <c r="AC93" i="10" s="1"/>
  <c r="AC88" i="7"/>
  <c r="B90" i="9" s="1"/>
  <c r="AC90" i="9" s="1"/>
  <c r="B90" i="10" s="1"/>
  <c r="AC90" i="10" s="1"/>
  <c r="AC76" i="7"/>
  <c r="B74" i="9" s="1"/>
  <c r="AC74" i="9" s="1"/>
  <c r="B74" i="10" s="1"/>
  <c r="AC74" i="10" s="1"/>
  <c r="B41" i="7"/>
  <c r="AC41" i="7" s="1"/>
  <c r="B45" i="9" s="1"/>
  <c r="AC45" i="9" s="1"/>
  <c r="B45" i="10" s="1"/>
  <c r="AC45" i="10" s="1"/>
  <c r="AC61" i="7"/>
  <c r="B50" i="9" s="1"/>
  <c r="AC50" i="9" s="1"/>
  <c r="B50" i="10" s="1"/>
  <c r="AC50" i="10" s="1"/>
  <c r="AC75" i="7"/>
  <c r="B73" i="9" s="1"/>
  <c r="AC73" i="9" s="1"/>
  <c r="B73" i="10" s="1"/>
  <c r="AC73" i="10" s="1"/>
  <c r="B84" i="7"/>
  <c r="AC84" i="7" s="1"/>
  <c r="B86" i="9" s="1"/>
  <c r="AC86" i="9" s="1"/>
  <c r="AC69" i="7"/>
  <c r="B92" i="9" s="1"/>
  <c r="AC92" i="9" s="1"/>
  <c r="B92" i="10" s="1"/>
  <c r="AC92" i="10" s="1"/>
  <c r="B53" i="7"/>
  <c r="AC53" i="7" s="1"/>
  <c r="B36" i="9" s="1"/>
  <c r="AC36" i="9" s="1"/>
  <c r="B36" i="10" s="1"/>
  <c r="AC36" i="10" s="1"/>
  <c r="AC37" i="7"/>
  <c r="B69" i="9" s="1"/>
  <c r="AC69" i="9" s="1"/>
  <c r="B69" i="10" s="1"/>
  <c r="AC69" i="10" s="1"/>
  <c r="B62" i="7"/>
  <c r="AC62" i="7" s="1"/>
  <c r="B67" i="9" s="1"/>
  <c r="AC67" i="9" s="1"/>
  <c r="B67" i="10" s="1"/>
  <c r="AC67" i="10" s="1"/>
  <c r="AC60" i="7"/>
  <c r="B49" i="9" s="1"/>
  <c r="AC49" i="9" s="1"/>
  <c r="B49" i="10" s="1"/>
  <c r="AC49" i="10" s="1"/>
  <c r="C2" i="7"/>
  <c r="B65" i="7"/>
  <c r="AC65" i="7" s="1"/>
  <c r="B60" i="9" s="1"/>
  <c r="AC60" i="9" s="1"/>
  <c r="B60" i="10" s="1"/>
  <c r="AC26" i="7"/>
  <c r="B28" i="9" s="1"/>
  <c r="AC28" i="9" s="1"/>
  <c r="B28" i="10" s="1"/>
  <c r="AC28" i="10" s="1"/>
  <c r="B9" i="7"/>
  <c r="AC9" i="7" s="1"/>
  <c r="B8" i="9" s="1"/>
  <c r="AC8" i="9" s="1"/>
  <c r="B8" i="10" s="1"/>
  <c r="AC8" i="10" s="1"/>
  <c r="AC68" i="7"/>
  <c r="B51" i="9" s="1"/>
  <c r="AC51" i="9" s="1"/>
  <c r="B51" i="10" s="1"/>
  <c r="AC51" i="10" s="1"/>
  <c r="AC93" i="7"/>
  <c r="B71" i="9" s="1"/>
  <c r="AC71" i="9" s="1"/>
  <c r="B71" i="10" s="1"/>
  <c r="AC71" i="10" s="1"/>
  <c r="AC86" i="7"/>
  <c r="B87" i="9" s="1"/>
  <c r="AC87" i="9" s="1"/>
  <c r="B87" i="10" s="1"/>
  <c r="AC87" i="10" s="1"/>
  <c r="B11" i="7"/>
  <c r="AC11" i="7" s="1"/>
  <c r="B11" i="9" s="1"/>
  <c r="AC11" i="9" s="1"/>
  <c r="B11" i="10" s="1"/>
  <c r="AC11" i="10" s="1"/>
  <c r="B66" i="7"/>
  <c r="AC66" i="7" s="1"/>
  <c r="B59" i="9" s="1"/>
  <c r="AC59" i="9" s="1"/>
  <c r="B59" i="10" s="1"/>
  <c r="AC59" i="10" s="1"/>
  <c r="B20" i="7"/>
  <c r="AC20" i="7" s="1"/>
  <c r="B47" i="7"/>
  <c r="AC47" i="7" s="1"/>
  <c r="B30" i="9" s="1"/>
  <c r="AC30" i="9" s="1"/>
  <c r="B30" i="10" s="1"/>
  <c r="AC30" i="10" s="1"/>
  <c r="AD15" i="3"/>
  <c r="B94" i="7"/>
  <c r="AC94" i="7" s="1"/>
  <c r="B94" i="9" s="1"/>
  <c r="AC94" i="9" s="1"/>
  <c r="B94" i="10" s="1"/>
  <c r="AC94" i="10" s="1"/>
  <c r="AC64" i="7"/>
  <c r="B62" i="9" s="1"/>
  <c r="AC62" i="9" s="1"/>
  <c r="B62" i="10" s="1"/>
  <c r="AC62" i="10" s="1"/>
  <c r="AC63" i="7"/>
  <c r="B65" i="9" s="1"/>
  <c r="AC65" i="9" s="1"/>
  <c r="B65" i="10" s="1"/>
  <c r="AC65" i="10" s="1"/>
  <c r="B25" i="7"/>
  <c r="AC25" i="7" s="1"/>
  <c r="B15" i="9" s="1"/>
  <c r="AC15" i="9" s="1"/>
  <c r="B15" i="10" s="1"/>
  <c r="AC15" i="10" s="1"/>
  <c r="AC45" i="7"/>
  <c r="B97" i="9" s="1"/>
  <c r="AC97" i="9" s="1"/>
  <c r="B97" i="10" s="1"/>
  <c r="AC97" i="10" s="1"/>
  <c r="AC59" i="7"/>
  <c r="B57" i="9" s="1"/>
  <c r="AC57" i="9" s="1"/>
  <c r="B57" i="10" s="1"/>
  <c r="AC57" i="10" s="1"/>
  <c r="B27" i="7"/>
  <c r="AC27" i="7" s="1"/>
  <c r="B27" i="9" s="1"/>
  <c r="AC27" i="9" s="1"/>
  <c r="B27" i="10" s="1"/>
  <c r="AC27" i="10" s="1"/>
  <c r="AC79" i="7"/>
  <c r="B82" i="9" s="1"/>
  <c r="AC82" i="9" s="1"/>
  <c r="B82" i="10" s="1"/>
  <c r="AC82" i="10" s="1"/>
  <c r="AC74" i="7"/>
  <c r="B72" i="9" s="1"/>
  <c r="AC72" i="9" s="1"/>
  <c r="B72" i="10" s="1"/>
  <c r="AC72" i="10" s="1"/>
  <c r="B56" i="7"/>
  <c r="AC56" i="7" s="1"/>
  <c r="B29" i="9" s="1"/>
  <c r="AC29" i="9" s="1"/>
  <c r="B29" i="10" s="1"/>
  <c r="AC29" i="10" s="1"/>
  <c r="AD75" i="3"/>
  <c r="AC85" i="7"/>
  <c r="B79" i="9" s="1"/>
  <c r="AC79" i="9" s="1"/>
  <c r="B79" i="10" s="1"/>
  <c r="AC79" i="10" s="1"/>
  <c r="AC24" i="7"/>
  <c r="B25" i="9" s="1"/>
  <c r="AC25" i="9" s="1"/>
  <c r="B25" i="10" s="1"/>
  <c r="AC25" i="10" s="1"/>
  <c r="AD57" i="3"/>
  <c r="B54" i="7"/>
  <c r="AC54" i="7" s="1"/>
  <c r="B46" i="9" s="1"/>
  <c r="AC46" i="9" s="1"/>
  <c r="B46" i="10" s="1"/>
  <c r="AC46" i="10" s="1"/>
  <c r="AD49" i="3"/>
  <c r="B14" i="7"/>
  <c r="AC14" i="7" s="1"/>
  <c r="B17" i="9" s="1"/>
  <c r="AC17" i="9" s="1"/>
  <c r="B17" i="10" s="1"/>
  <c r="AC17" i="10" s="1"/>
  <c r="AC13" i="7"/>
  <c r="B12" i="9" s="1"/>
  <c r="AC12" i="9" s="1"/>
  <c r="B12" i="10" s="1"/>
  <c r="AC12" i="10" s="1"/>
  <c r="AC5" i="7"/>
  <c r="AC81" i="7"/>
  <c r="B85" i="9" s="1"/>
  <c r="AC85" i="9" s="1"/>
  <c r="B85" i="10" s="1"/>
  <c r="AC85" i="10" s="1"/>
  <c r="B36" i="7"/>
  <c r="AC35" i="7"/>
  <c r="B37" i="9" s="1"/>
  <c r="AC37" i="9" s="1"/>
  <c r="B37" i="10" s="1"/>
  <c r="AC37" i="10" s="1"/>
  <c r="G82" i="1"/>
  <c r="AD6" i="3"/>
  <c r="AC48" i="7"/>
  <c r="B68" i="9" s="1"/>
  <c r="AC68" i="9" s="1"/>
  <c r="B68" i="10" s="1"/>
  <c r="AC68" i="10" s="1"/>
  <c r="AD50" i="3"/>
  <c r="AD33" i="3"/>
  <c r="B21" i="7"/>
  <c r="AC67" i="7"/>
  <c r="B66" i="9" s="1"/>
  <c r="AC66" i="9" s="1"/>
  <c r="B66" i="10" s="1"/>
  <c r="AC66" i="10" s="1"/>
  <c r="AC42" i="7"/>
  <c r="B41" i="9" s="1"/>
  <c r="AC41" i="9" s="1"/>
  <c r="B41" i="10" s="1"/>
  <c r="AC41" i="10" s="1"/>
  <c r="AB79" i="1"/>
  <c r="AE70" i="3"/>
  <c r="AE73" i="3"/>
  <c r="AE74" i="3"/>
  <c r="B98" i="7" l="1"/>
  <c r="B86" i="10"/>
  <c r="AC86" i="10" s="1"/>
  <c r="B86" i="13" s="1"/>
  <c r="AC39" i="13"/>
  <c r="AE39" i="13"/>
  <c r="AH39" i="13" s="1"/>
  <c r="B43" i="14" s="1"/>
  <c r="AE43" i="14" s="1"/>
  <c r="AC18" i="13"/>
  <c r="AE18" i="13"/>
  <c r="AH18" i="13" s="1"/>
  <c r="B21" i="14" s="1"/>
  <c r="AE21" i="14" s="1"/>
  <c r="AC55" i="13"/>
  <c r="AE55" i="13"/>
  <c r="AH55" i="13" s="1"/>
  <c r="B59" i="14" s="1"/>
  <c r="AE59" i="14" s="1"/>
  <c r="AC58" i="13"/>
  <c r="AE58" i="13"/>
  <c r="AH58" i="13" s="1"/>
  <c r="B62" i="14" s="1"/>
  <c r="AE62" i="14" s="1"/>
  <c r="AC48" i="13"/>
  <c r="AE48" i="13"/>
  <c r="AH48" i="13" s="1"/>
  <c r="B52" i="14" s="1"/>
  <c r="AE52" i="14" s="1"/>
  <c r="AC43" i="13"/>
  <c r="AE43" i="13"/>
  <c r="AH43" i="13" s="1"/>
  <c r="B47" i="14" s="1"/>
  <c r="AE47" i="14" s="1"/>
  <c r="AC53" i="13"/>
  <c r="AE53" i="13"/>
  <c r="AH53" i="13" s="1"/>
  <c r="B57" i="14" s="1"/>
  <c r="AE57" i="14" s="1"/>
  <c r="AC95" i="13"/>
  <c r="AE95" i="13"/>
  <c r="AH95" i="13" s="1"/>
  <c r="B99" i="14" s="1"/>
  <c r="AE99" i="14" s="1"/>
  <c r="AC33" i="13"/>
  <c r="AE33" i="13"/>
  <c r="AH33" i="13" s="1"/>
  <c r="B37" i="14" s="1"/>
  <c r="AE37" i="14" s="1"/>
  <c r="AE42" i="13"/>
  <c r="AH42" i="13" s="1"/>
  <c r="B46" i="14" s="1"/>
  <c r="AE46" i="14" s="1"/>
  <c r="AC21" i="13"/>
  <c r="AE21" i="13"/>
  <c r="AH21" i="13" s="1"/>
  <c r="AC34" i="13"/>
  <c r="AC54" i="13"/>
  <c r="AE54" i="13"/>
  <c r="AH54" i="13" s="1"/>
  <c r="B58" i="14" s="1"/>
  <c r="AE58" i="14" s="1"/>
  <c r="AC16" i="13"/>
  <c r="AE16" i="13"/>
  <c r="AH16" i="13" s="1"/>
  <c r="B16" i="14" s="1"/>
  <c r="AE16" i="14" s="1"/>
  <c r="AE76" i="13"/>
  <c r="AH76" i="13" s="1"/>
  <c r="B80" i="14" s="1"/>
  <c r="AE80" i="14" s="1"/>
  <c r="AC75" i="13"/>
  <c r="AE75" i="13"/>
  <c r="AH75" i="13" s="1"/>
  <c r="AC10" i="13"/>
  <c r="AE10" i="13"/>
  <c r="AH10" i="13" s="1"/>
  <c r="B10" i="14" s="1"/>
  <c r="AE10" i="14" s="1"/>
  <c r="AC97" i="13"/>
  <c r="AE97" i="13"/>
  <c r="AH97" i="13" s="1"/>
  <c r="B101" i="14" s="1"/>
  <c r="AE101" i="14" s="1"/>
  <c r="AC84" i="13"/>
  <c r="AE84" i="13"/>
  <c r="AH84" i="13" s="1"/>
  <c r="AC52" i="13"/>
  <c r="AE52" i="13"/>
  <c r="AH52" i="13" s="1"/>
  <c r="B56" i="14" s="1"/>
  <c r="AE56" i="14" s="1"/>
  <c r="AC32" i="13"/>
  <c r="AE32" i="13"/>
  <c r="AH32" i="13" s="1"/>
  <c r="B36" i="14" s="1"/>
  <c r="AE36" i="14" s="1"/>
  <c r="AC94" i="13"/>
  <c r="AE94" i="13"/>
  <c r="AH94" i="13" s="1"/>
  <c r="B98" i="14" s="1"/>
  <c r="AE98" i="14" s="1"/>
  <c r="B65" i="13"/>
  <c r="B62" i="13"/>
  <c r="B37" i="13"/>
  <c r="B29" i="13"/>
  <c r="B30" i="13"/>
  <c r="B87" i="13"/>
  <c r="AE87" i="13" s="1"/>
  <c r="AH87" i="13" s="1"/>
  <c r="B91" i="14" s="1"/>
  <c r="AE91" i="14" s="1"/>
  <c r="B28" i="13"/>
  <c r="B67" i="13"/>
  <c r="B74" i="13"/>
  <c r="B78" i="13"/>
  <c r="B40" i="13"/>
  <c r="B66" i="13"/>
  <c r="B17" i="13"/>
  <c r="B25" i="13"/>
  <c r="B71" i="13"/>
  <c r="B69" i="13"/>
  <c r="B73" i="13"/>
  <c r="B90" i="13"/>
  <c r="B41" i="13"/>
  <c r="B85" i="13"/>
  <c r="B79" i="13"/>
  <c r="B57" i="13"/>
  <c r="B93" i="13"/>
  <c r="B59" i="13"/>
  <c r="B51" i="13"/>
  <c r="B81" i="13"/>
  <c r="B82" i="13"/>
  <c r="B8" i="13"/>
  <c r="B49" i="13"/>
  <c r="B92" i="13"/>
  <c r="B45" i="13"/>
  <c r="B9" i="13"/>
  <c r="B88" i="13"/>
  <c r="AC60" i="10"/>
  <c r="AD7" i="7"/>
  <c r="B20" i="9"/>
  <c r="AC20" i="9" s="1"/>
  <c r="B20" i="10" s="1"/>
  <c r="AC20" i="10" s="1"/>
  <c r="B6" i="9"/>
  <c r="AC6" i="9" s="1"/>
  <c r="B6" i="10" s="1"/>
  <c r="AC6" i="10" s="1"/>
  <c r="AC21" i="7"/>
  <c r="AC36" i="7"/>
  <c r="B19" i="9" s="1"/>
  <c r="AC19" i="9" s="1"/>
  <c r="B19" i="10" s="1"/>
  <c r="AC19" i="10" s="1"/>
  <c r="AC9" i="13" l="1"/>
  <c r="AE9" i="13"/>
  <c r="AH9" i="13" s="1"/>
  <c r="B9" i="14" s="1"/>
  <c r="AE9" i="14" s="1"/>
  <c r="AC71" i="13"/>
  <c r="AE71" i="13"/>
  <c r="AH71" i="13" s="1"/>
  <c r="B75" i="14" s="1"/>
  <c r="AE75" i="14" s="1"/>
  <c r="AC29" i="13"/>
  <c r="AE29" i="13"/>
  <c r="AH29" i="13" s="1"/>
  <c r="B33" i="14" s="1"/>
  <c r="AE33" i="14" s="1"/>
  <c r="AC81" i="13"/>
  <c r="AE81" i="13"/>
  <c r="AH81" i="13" s="1"/>
  <c r="B85" i="14" s="1"/>
  <c r="AE85" i="14" s="1"/>
  <c r="AC25" i="13"/>
  <c r="AE25" i="13"/>
  <c r="AH25" i="13" s="1"/>
  <c r="B29" i="14" s="1"/>
  <c r="AE29" i="14" s="1"/>
  <c r="AC85" i="13"/>
  <c r="AE85" i="13"/>
  <c r="AH85" i="13" s="1"/>
  <c r="B89" i="14" s="1"/>
  <c r="AE89" i="14" s="1"/>
  <c r="AC41" i="13"/>
  <c r="AE41" i="13"/>
  <c r="AH41" i="13" s="1"/>
  <c r="B45" i="14" s="1"/>
  <c r="AE45" i="14" s="1"/>
  <c r="AC11" i="13"/>
  <c r="AE11" i="13"/>
  <c r="AH11" i="13" s="1"/>
  <c r="B11" i="14" s="1"/>
  <c r="AE11" i="14" s="1"/>
  <c r="AC57" i="13"/>
  <c r="AE57" i="13"/>
  <c r="AH57" i="13" s="1"/>
  <c r="B61" i="14" s="1"/>
  <c r="AE61" i="14" s="1"/>
  <c r="AC72" i="13"/>
  <c r="AE72" i="13"/>
  <c r="AH72" i="13" s="1"/>
  <c r="AC86" i="13"/>
  <c r="AE86" i="13"/>
  <c r="AH86" i="13" s="1"/>
  <c r="B90" i="14" s="1"/>
  <c r="AE90" i="14" s="1"/>
  <c r="AC37" i="13"/>
  <c r="AE37" i="13"/>
  <c r="AH37" i="13" s="1"/>
  <c r="B41" i="14" s="1"/>
  <c r="AE41" i="14" s="1"/>
  <c r="AC92" i="13"/>
  <c r="AE92" i="13"/>
  <c r="AH92" i="13" s="1"/>
  <c r="B96" i="14" s="1"/>
  <c r="AE96" i="14" s="1"/>
  <c r="AC67" i="13"/>
  <c r="AE67" i="13"/>
  <c r="AH67" i="13" s="1"/>
  <c r="B71" i="14" s="1"/>
  <c r="AE71" i="14" s="1"/>
  <c r="AC49" i="13"/>
  <c r="AE49" i="13"/>
  <c r="AH49" i="13" s="1"/>
  <c r="B53" i="14" s="1"/>
  <c r="AE53" i="14" s="1"/>
  <c r="AC17" i="13"/>
  <c r="AE17" i="13"/>
  <c r="AH17" i="13" s="1"/>
  <c r="B20" i="14" s="1"/>
  <c r="AE20" i="14" s="1"/>
  <c r="AC65" i="13"/>
  <c r="AE65" i="13"/>
  <c r="AH65" i="13" s="1"/>
  <c r="B69" i="14" s="1"/>
  <c r="AE69" i="14" s="1"/>
  <c r="AC36" i="13"/>
  <c r="AE36" i="13"/>
  <c r="AH36" i="13" s="1"/>
  <c r="B40" i="14" s="1"/>
  <c r="AE40" i="14" s="1"/>
  <c r="AC68" i="13"/>
  <c r="AE68" i="13"/>
  <c r="AH68" i="13" s="1"/>
  <c r="B72" i="14" s="1"/>
  <c r="AE72" i="14" s="1"/>
  <c r="AC82" i="13"/>
  <c r="AE82" i="13"/>
  <c r="AH82" i="13" s="1"/>
  <c r="B86" i="14" s="1"/>
  <c r="AE86" i="14" s="1"/>
  <c r="AC59" i="13"/>
  <c r="AE59" i="13"/>
  <c r="AH59" i="13" s="1"/>
  <c r="B63" i="14" s="1"/>
  <c r="AE63" i="14" s="1"/>
  <c r="AC73" i="13"/>
  <c r="AE73" i="13"/>
  <c r="AH73" i="13" s="1"/>
  <c r="B77" i="14" s="1"/>
  <c r="AE77" i="14" s="1"/>
  <c r="AC40" i="13"/>
  <c r="AE40" i="13"/>
  <c r="AH40" i="13" s="1"/>
  <c r="B44" i="14" s="1"/>
  <c r="AE44" i="14" s="1"/>
  <c r="AC96" i="13"/>
  <c r="AE96" i="13"/>
  <c r="AH96" i="13" s="1"/>
  <c r="B100" i="14" s="1"/>
  <c r="AE100" i="14" s="1"/>
  <c r="AC12" i="13"/>
  <c r="AE12" i="13"/>
  <c r="AH12" i="13" s="1"/>
  <c r="B12" i="14" s="1"/>
  <c r="AE12" i="14" s="1"/>
  <c r="AC74" i="13"/>
  <c r="AE74" i="13"/>
  <c r="AH74" i="13" s="1"/>
  <c r="B78" i="14" s="1"/>
  <c r="AE78" i="14" s="1"/>
  <c r="AC45" i="13"/>
  <c r="AE45" i="13"/>
  <c r="AH45" i="13" s="1"/>
  <c r="AC15" i="13"/>
  <c r="AC79" i="13"/>
  <c r="AE79" i="13"/>
  <c r="AH79" i="13" s="1"/>
  <c r="B83" i="14" s="1"/>
  <c r="AE83" i="14" s="1"/>
  <c r="AC62" i="13"/>
  <c r="AE62" i="13"/>
  <c r="AH62" i="13" s="1"/>
  <c r="B66" i="14" s="1"/>
  <c r="AE66" i="14" s="1"/>
  <c r="AC50" i="13"/>
  <c r="AE50" i="13"/>
  <c r="AH50" i="13" s="1"/>
  <c r="B54" i="14" s="1"/>
  <c r="AE54" i="14" s="1"/>
  <c r="AC28" i="13"/>
  <c r="AE28" i="13"/>
  <c r="AH28" i="13" s="1"/>
  <c r="B32" i="14" s="1"/>
  <c r="AE32" i="14" s="1"/>
  <c r="AC8" i="13"/>
  <c r="AE8" i="13"/>
  <c r="AH8" i="13" s="1"/>
  <c r="B8" i="14" s="1"/>
  <c r="AE8" i="14" s="1"/>
  <c r="AC87" i="13"/>
  <c r="AC51" i="13"/>
  <c r="AE51" i="13"/>
  <c r="AH51" i="13" s="1"/>
  <c r="B55" i="14" s="1"/>
  <c r="AE55" i="14" s="1"/>
  <c r="AC90" i="13"/>
  <c r="AE90" i="13"/>
  <c r="AH90" i="13" s="1"/>
  <c r="B94" i="14" s="1"/>
  <c r="AE94" i="14" s="1"/>
  <c r="AC66" i="13"/>
  <c r="AE66" i="13"/>
  <c r="AH66" i="13" s="1"/>
  <c r="B70" i="14" s="1"/>
  <c r="AE70" i="14" s="1"/>
  <c r="AC30" i="13"/>
  <c r="AE30" i="13"/>
  <c r="AH30" i="13" s="1"/>
  <c r="B34" i="14" s="1"/>
  <c r="AE34" i="14" s="1"/>
  <c r="AC88" i="13"/>
  <c r="AE88" i="13"/>
  <c r="AH88" i="13" s="1"/>
  <c r="B92" i="14" s="1"/>
  <c r="AE92" i="14" s="1"/>
  <c r="AC46" i="13"/>
  <c r="AE46" i="13"/>
  <c r="AH46" i="13" s="1"/>
  <c r="B50" i="14" s="1"/>
  <c r="AE50" i="14" s="1"/>
  <c r="AC93" i="13"/>
  <c r="AE93" i="13"/>
  <c r="AH93" i="13" s="1"/>
  <c r="B97" i="14" s="1"/>
  <c r="AE97" i="14" s="1"/>
  <c r="AC69" i="13"/>
  <c r="AE69" i="13"/>
  <c r="AH69" i="13" s="1"/>
  <c r="B73" i="14" s="1"/>
  <c r="AE73" i="14" s="1"/>
  <c r="AC78" i="13"/>
  <c r="AE78" i="13"/>
  <c r="AH78" i="13" s="1"/>
  <c r="B82" i="14" s="1"/>
  <c r="AE82" i="14" s="1"/>
  <c r="AC27" i="13"/>
  <c r="AE27" i="13"/>
  <c r="AH27" i="13" s="1"/>
  <c r="B31" i="14" s="1"/>
  <c r="AE31" i="14" s="1"/>
  <c r="B19" i="13"/>
  <c r="AC98" i="7"/>
  <c r="B6" i="13"/>
  <c r="B60" i="13"/>
  <c r="B56" i="9"/>
  <c r="AE6" i="13" l="1"/>
  <c r="AH6" i="13" s="1"/>
  <c r="AC60" i="13"/>
  <c r="AE60" i="13"/>
  <c r="AH60" i="13" s="1"/>
  <c r="B64" i="14" s="1"/>
  <c r="AE64" i="14" s="1"/>
  <c r="AC20" i="13"/>
  <c r="AE20" i="13"/>
  <c r="AH20" i="13" s="1"/>
  <c r="AC19" i="13"/>
  <c r="AE19" i="13"/>
  <c r="AH19" i="13" s="1"/>
  <c r="B22" i="14" s="1"/>
  <c r="AE22" i="14" s="1"/>
  <c r="AC56" i="9"/>
  <c r="B56" i="10" s="1"/>
  <c r="AC6" i="13"/>
  <c r="B104" i="9"/>
  <c r="AC56" i="10" l="1"/>
  <c r="B111" i="10"/>
  <c r="AC104" i="9"/>
  <c r="J115" i="10"/>
  <c r="AE56" i="13" l="1"/>
  <c r="AC111" i="10"/>
  <c r="AE114" i="13" l="1"/>
  <c r="AH56" i="13"/>
  <c r="AC56" i="13"/>
  <c r="B114" i="13"/>
  <c r="AH114" i="13" l="1"/>
  <c r="B60" i="14"/>
  <c r="AE60" i="14" s="1"/>
  <c r="AE120" i="14" s="1"/>
  <c r="AE122" i="14" s="1"/>
  <c r="AE124" i="14" s="1"/>
  <c r="AC114" i="13"/>
  <c r="B120" i="14" l="1"/>
  <c r="AG120" i="14" l="1"/>
  <c r="Z120" i="14"/>
  <c r="Z122" i="14" s="1"/>
  <c r="AJ99" i="14"/>
  <c r="AJ120" i="14" l="1"/>
  <c r="AK99" i="14"/>
  <c r="AK120" i="14"/>
  <c r="AK122" i="14" s="1"/>
  <c r="AK123" i="14" s="1"/>
  <c r="AG53" i="19"/>
  <c r="AG110" i="19" s="1"/>
  <c r="AK53" i="19"/>
  <c r="AM53" i="19" s="1"/>
  <c r="AK110" i="19" l="1"/>
  <c r="AM110" i="19" s="1"/>
  <c r="V112" i="27" l="1"/>
  <c r="X117" i="27" s="1"/>
  <c r="AB53" i="27"/>
  <c r="AB112" i="27" s="1"/>
  <c r="AG53" i="27"/>
  <c r="AH53" i="27" s="1"/>
  <c r="AG112" i="27" l="1"/>
  <c r="AH112" i="27" s="1"/>
  <c r="V112" i="30"/>
  <c r="AB112" i="30"/>
  <c r="AG112" i="30" l="1"/>
  <c r="AH112" i="30" s="1"/>
</calcChain>
</file>

<file path=xl/sharedStrings.xml><?xml version="1.0" encoding="utf-8"?>
<sst xmlns="http://schemas.openxmlformats.org/spreadsheetml/2006/main" count="12013" uniqueCount="1261">
  <si>
    <t>DEBTORS UPDATE</t>
  </si>
  <si>
    <t>Department</t>
  </si>
  <si>
    <t xml:space="preserve">Balance </t>
  </si>
  <si>
    <t>Payments</t>
  </si>
  <si>
    <t>Disputed Amount</t>
  </si>
  <si>
    <t>Billing</t>
  </si>
  <si>
    <t>TOTAL</t>
  </si>
  <si>
    <t>April -11</t>
  </si>
  <si>
    <t>May-11</t>
  </si>
  <si>
    <t>June-11</t>
  </si>
  <si>
    <t>July-11</t>
  </si>
  <si>
    <t>August-11</t>
  </si>
  <si>
    <t>August -11</t>
  </si>
  <si>
    <t>September-11</t>
  </si>
  <si>
    <t>October 2011</t>
  </si>
  <si>
    <t>November 2011</t>
  </si>
  <si>
    <t>December 2011</t>
  </si>
  <si>
    <t>January 2012</t>
  </si>
  <si>
    <t>February 2012</t>
  </si>
  <si>
    <t>MARCH 2012</t>
  </si>
  <si>
    <t>Gauteng Health &amp; Social Development (Health)</t>
  </si>
  <si>
    <t>GPG : DID Department of Infrastructure &amp; Development</t>
  </si>
  <si>
    <t>a</t>
  </si>
  <si>
    <t>Department of Justice and Constitutional Developme</t>
  </si>
  <si>
    <t>NAT: Home Affairs</t>
  </si>
  <si>
    <t>GPG: Community Safety</t>
  </si>
  <si>
    <t>GPG: Department of Education</t>
  </si>
  <si>
    <t>Statistics South Africa</t>
  </si>
  <si>
    <t>GPG: Agriculture,Conservation and Environment)</t>
  </si>
  <si>
    <t>NAT: Agriculture Research Council</t>
  </si>
  <si>
    <t>National Prosecurity Authority of South Africa</t>
  </si>
  <si>
    <t>NAT: Rural Development &amp; Land Reform)</t>
  </si>
  <si>
    <t>GPG: Gauteng Department of Finance (GSSC)</t>
  </si>
  <si>
    <t>GPG: Gauteng Department of Finance (TREASURY)</t>
  </si>
  <si>
    <t xml:space="preserve"> Gauteng Health &amp; Social Development (Social Development)</t>
  </si>
  <si>
    <t>Gauteng Department of Roads &amp; Works</t>
  </si>
  <si>
    <t>KZN:Umgungundlovu District Municipality</t>
  </si>
  <si>
    <t>NAT: Dept of Social Development</t>
  </si>
  <si>
    <t>GPG: Gauteng Department of local government &amp; Housing (HOUSING)</t>
  </si>
  <si>
    <t>NAT: Office of The President</t>
  </si>
  <si>
    <t>South African Defence Force</t>
  </si>
  <si>
    <t>SANDF : WORKS FORMATION (PROJECT LEBAKA)</t>
  </si>
  <si>
    <t>GPG: Sports,Arts, Culture and Recreation</t>
  </si>
  <si>
    <t>JHB Metropolitan Police</t>
  </si>
  <si>
    <t>NAT: South African Social Security Agency</t>
  </si>
  <si>
    <t>GPG: LEGISLATURE</t>
  </si>
  <si>
    <t xml:space="preserve">NAT:Government Communication &amp; Information System </t>
  </si>
  <si>
    <t>Independent Complaints Directorate</t>
  </si>
  <si>
    <t>NAT: Department of Public Works</t>
  </si>
  <si>
    <t>UMSHWATHI MUNICIPALITY</t>
  </si>
  <si>
    <t>National Treasury</t>
  </si>
  <si>
    <t>Mogale City Local Municipality</t>
  </si>
  <si>
    <t>Department of Public Service and Administration</t>
  </si>
  <si>
    <t>NORTH WEST : NAT:South Africa  Social Security  Agency (SASSA)</t>
  </si>
  <si>
    <t>NAT: Department of Provincial and Local Government</t>
  </si>
  <si>
    <t>KZN: Dept. of Local and Govt &amp; Traditional Affair</t>
  </si>
  <si>
    <t>KZN : Mpofana Municipality</t>
  </si>
  <si>
    <t xml:space="preserve">GPG: Office of The Premier </t>
  </si>
  <si>
    <t>GPG: Department of Economic Development</t>
  </si>
  <si>
    <t>NAT: Service Product</t>
  </si>
  <si>
    <t xml:space="preserve">NAT: Department of Mineral Resources </t>
  </si>
  <si>
    <t>NAT: Department of Basic Education  (DBE))</t>
  </si>
  <si>
    <t>NAT: Department of Human settlement</t>
  </si>
  <si>
    <t xml:space="preserve">KZN: Dept. of Health </t>
  </si>
  <si>
    <t>Department of housing &amp; Local Government (LOCAL GOVERNMENT)</t>
  </si>
  <si>
    <t>NAT: Public Service Commission</t>
  </si>
  <si>
    <t>NAT: Government Printing Works</t>
  </si>
  <si>
    <t>NAT: Department of Communication</t>
  </si>
  <si>
    <t xml:space="preserve">NAT: Arts and Culture </t>
  </si>
  <si>
    <t>NAT: THE National Youth Commission</t>
  </si>
  <si>
    <t>NAT: International  Relations &amp; Cooperation</t>
  </si>
  <si>
    <t>NAT: Dept. of Higher Education and Training (DHET))</t>
  </si>
  <si>
    <t>NAT: Department of Public Enterprises</t>
  </si>
  <si>
    <t>NAT: Department of Energy (DE))</t>
  </si>
  <si>
    <t xml:space="preserve">NAT: Public Adminstration Leadership &amp;  Management Academy </t>
  </si>
  <si>
    <t>Department of Sport and Recreation</t>
  </si>
  <si>
    <t>FREE STATE: Naledi Local Municipality</t>
  </si>
  <si>
    <t>KZN: Dept of Tourism, Environment &amp; Economic Affairs</t>
  </si>
  <si>
    <t>FREE STATE: Dept of Tourism, Environment &amp; Economic Affairs</t>
  </si>
  <si>
    <t>FREE STATE: Dept of Public Works &amp; Transport</t>
  </si>
  <si>
    <t>NAT: South African Law Reform Commission</t>
  </si>
  <si>
    <t>GPG: Medsas</t>
  </si>
  <si>
    <t>KZN : Maphumulo Municipality</t>
  </si>
  <si>
    <t>Public Protector</t>
  </si>
  <si>
    <t>MPUMALANGA :MPU:South Africa  Social Security  Agency (SASSA)</t>
  </si>
  <si>
    <t>FREE STATE : FST:South Africa  Social Security  Agency (SASSA)</t>
  </si>
  <si>
    <t>KZN : KZN:South Africa  Social Security  Agency (SASSA)</t>
  </si>
  <si>
    <t>5200500 (KZN EDUCATION AND CULTURE)</t>
  </si>
  <si>
    <t>LIMPOPO : LIM:South Africa  Social Security  Agency (SASSA)</t>
  </si>
  <si>
    <t>NORTH CAPE : NC:South Africa  Social Security  Agency (SASSA)</t>
  </si>
  <si>
    <t>EASTERN CAPE : WC:South Africa  Social Security  Agency (SASSA)</t>
  </si>
  <si>
    <t>WESTERN CAPE : WC:South Africa  Social Security  Agency (SASSA)</t>
  </si>
  <si>
    <t>NORTH CAPE : NC: Premier's Office</t>
  </si>
  <si>
    <t>Metsweding District Municipality</t>
  </si>
  <si>
    <t>g-FleeT Management</t>
  </si>
  <si>
    <t>01 September 2011</t>
  </si>
  <si>
    <t>Provision for doubtful debt schedule</t>
  </si>
  <si>
    <t xml:space="preserve"> SAMETCO</t>
  </si>
  <si>
    <t>NAT: Department of Education</t>
  </si>
  <si>
    <t>SATS (SATS)</t>
  </si>
  <si>
    <t>1300000 (LOCAL GOVERNMENT)</t>
  </si>
  <si>
    <t>Northwest Education</t>
  </si>
  <si>
    <t>2900000 (NAT: TRADE &amp; INDUSTRY (X))</t>
  </si>
  <si>
    <t>S500900 (EASTERNCAPE PREMIER'S OFFICE)</t>
  </si>
  <si>
    <t>7913000 ( NORTHERN CAPE AGRICULTURE)</t>
  </si>
  <si>
    <t>0300000 (NAT: Human Rights Commission)</t>
  </si>
  <si>
    <t>5200600 (KZN: DEPT. OF FINANCE )</t>
  </si>
  <si>
    <t>S600000 (EASTERN CAPE : UMZIMVUBU  LOCAL MUNICIPALITY )</t>
  </si>
  <si>
    <t>9000000 (SAPS)</t>
  </si>
  <si>
    <t>P301200 (LIMPOPP SAFETY AND SECURITY)</t>
  </si>
  <si>
    <t>PHUTHUMA (PHUTHUMA 07/08)</t>
  </si>
  <si>
    <t>P300600 (Limpopo - Public Transport)</t>
  </si>
  <si>
    <t>P300100 (Mpumalanga Premier)</t>
  </si>
  <si>
    <t>6700200 (Northwest Agriculture)</t>
  </si>
  <si>
    <t>V800000 (Free State - Local Govt)</t>
  </si>
  <si>
    <t>S500600 (Eastern Cape - Public Works)</t>
  </si>
  <si>
    <t>V500000 (F/S Health)</t>
  </si>
  <si>
    <t>U500000 (Deeds Registrar)</t>
  </si>
  <si>
    <t>3000000 (NAT: Department of Science and Technology)</t>
  </si>
  <si>
    <t>6001000 (NAT: Secretary of Parliament)</t>
  </si>
  <si>
    <t>U300000 (WESTERN CAPE HEALTH)</t>
  </si>
  <si>
    <t>S500000 (Eastern Cape - Prov Admin)</t>
  </si>
  <si>
    <t>4700000 (NAT: Department of Agriculture)</t>
  </si>
  <si>
    <t>U700000 (W/Cape - Planning &amp; Local Government)</t>
  </si>
  <si>
    <t>5200701 (KZN: DEPT. OF HEALTH (X))</t>
  </si>
  <si>
    <t>7700000 (W/C - Prov Admin)</t>
  </si>
  <si>
    <t>5201200 (KZN Public Works)</t>
  </si>
  <si>
    <t>Q601800 (Liquor Board)</t>
  </si>
  <si>
    <t>S500100 (Eastern Cape - Health)</t>
  </si>
  <si>
    <t>S500800 (EASTERN CAPE AGRICULTURE)</t>
  </si>
  <si>
    <t>S501400 (Eastern Cape - Sport &amp; Recreation)</t>
  </si>
  <si>
    <t>7901000 ( NORTHERN CAPE PREMIER'S OFFICE)</t>
  </si>
  <si>
    <t>5200400 (KZN ECONOMIC AFFAIRS)</t>
  </si>
  <si>
    <t>V700000 (Free State - Social Development)</t>
  </si>
  <si>
    <t>7915000 ( NORTHERN CAPE SAFETY &amp; SECURITY)</t>
  </si>
  <si>
    <t>5200100 (KZN Premier)</t>
  </si>
  <si>
    <t>S500200 (Eastern Cape - Education)</t>
  </si>
  <si>
    <t>S501300 (Eastern Cape - Social Services)</t>
  </si>
  <si>
    <t>5200501 (KZN: DEPT. OF EDUCATION &amp; CULTURE )</t>
  </si>
  <si>
    <t>W600002 (WESTERN CAPE PREMIER'S OFFICE)</t>
  </si>
  <si>
    <t>X300000 (Free State - Sport Art &amp; Culture Science &amp; Tech)</t>
  </si>
  <si>
    <t>S500300 (EASTERN CAPE: DEPT. OF LOCAL AUTHORITY)</t>
  </si>
  <si>
    <t>U200000 (W/ Cape Transport)</t>
  </si>
  <si>
    <t>5200800 (KZN LOCAL GORN AND HOUSING)</t>
  </si>
  <si>
    <t>V900000 (FREE STATE PUBLIC ROADS &amp; WORKS)</t>
  </si>
  <si>
    <t>0400000 (NAT: COMMISSION ON GENDER EQUALITY)</t>
  </si>
  <si>
    <t>W400000 (WESTERN CAPE ENVIRON AFFAIRS DEV. &amp; PLANNIN)</t>
  </si>
  <si>
    <t>W800001 (WESTERN CAPE AGRICULTURE)</t>
  </si>
  <si>
    <t>W800000 (Free State - Agriculture)</t>
  </si>
  <si>
    <t>V400000 (F/S FINANCE AND EXPENDITURE)</t>
  </si>
  <si>
    <t>X100000 (Free State - Safety &amp; Security)</t>
  </si>
  <si>
    <t>7902000 (Nothern Cape - Legislature)</t>
  </si>
  <si>
    <t>P300400 (Limpopo - Local Government)</t>
  </si>
  <si>
    <t>9300500 (Mpumalanga - Agriculture)</t>
  </si>
  <si>
    <t>7903000 (Nothern Cape - Service Commission)</t>
  </si>
  <si>
    <t>9500000 (Correctional Services)</t>
  </si>
  <si>
    <t>9300700 (Mpumalanga - Education )</t>
  </si>
  <si>
    <t>S500400 (Eastern Cape - Transport)</t>
  </si>
  <si>
    <t>5200300 (KZN - Agriculture)</t>
  </si>
  <si>
    <t>1700000 (Department of Environmental Affairs and Tourism)</t>
  </si>
  <si>
    <t>U600000 (W/Cape - Housing)</t>
  </si>
  <si>
    <t>7000200 (W/Cape Finance)</t>
  </si>
  <si>
    <t>7905000 (NORTHERN CAPE - DEPT OF TRANSPORT)</t>
  </si>
  <si>
    <t>9300900 (Mpumalana - Safety &amp; Security)</t>
  </si>
  <si>
    <t>W500000 (W/Cape - Community Safety)</t>
  </si>
  <si>
    <t>P301000 (Limpopo Water Affairs)</t>
  </si>
  <si>
    <t>S500500 (Eastern Cape - Economic Affairs)</t>
  </si>
  <si>
    <t>9300400 (Mpumalanga - Local Government)</t>
  </si>
  <si>
    <t>VW0001 (VWSA)</t>
  </si>
  <si>
    <t>0500000 (NAT: Special Investigating Unit: Head Office : PTA)</t>
  </si>
  <si>
    <t>P301100 (Limpopo Local Government)</t>
  </si>
  <si>
    <t>W600000 (WESTERN CAPE: OFFICE OF THE PREMIER)</t>
  </si>
  <si>
    <t>7911000 (Nothern Cape - Social &amp; Welfare Services)</t>
  </si>
  <si>
    <t>5200900 (KZN  Service Comm)</t>
  </si>
  <si>
    <t>7907000 (Nothern Cape - Sports &amp; Recreation)</t>
  </si>
  <si>
    <t>X900000 (F/S Agriculture)</t>
  </si>
  <si>
    <t>V200000 (FREE STATE: DEPT. OF THE PREMIER)</t>
  </si>
  <si>
    <t>9300800 (Mpumalanga Works)</t>
  </si>
  <si>
    <t>Other Debtors</t>
  </si>
  <si>
    <t>Opening Balance</t>
  </si>
  <si>
    <t xml:space="preserve">Billing </t>
  </si>
  <si>
    <t>Payment</t>
  </si>
  <si>
    <t>April -12</t>
  </si>
  <si>
    <t>May -12</t>
  </si>
  <si>
    <t>June -12</t>
  </si>
  <si>
    <t>Independent Policy Investigation Directorate</t>
  </si>
  <si>
    <t>NAT: Human Settlement</t>
  </si>
  <si>
    <t>NAT: THE National Youth Development  Agency</t>
  </si>
  <si>
    <t>FREE STATE: Dept of Health</t>
  </si>
  <si>
    <t>ORG: Sametco</t>
  </si>
  <si>
    <t>NW: Education`</t>
  </si>
  <si>
    <t xml:space="preserve">NAT: Agriculture </t>
  </si>
  <si>
    <t>LIMPOPO : LIM:Dept of Education</t>
  </si>
  <si>
    <t>KZN :Dept of T he Premier's Office</t>
  </si>
  <si>
    <t>LIM : Dept of Finance &amp; Expenditure</t>
  </si>
  <si>
    <t>LIMPOPO : LIM:Dept. of Health &amp; Walfare</t>
  </si>
  <si>
    <t>EMFULENI LOCAL MUNICIPALITY</t>
  </si>
  <si>
    <t>EASTERN CAPE : Dept: Of Local Authority</t>
  </si>
  <si>
    <t>Accounts Receivable Age Analysis</t>
  </si>
  <si>
    <t>gFleet Management</t>
  </si>
  <si>
    <t>Exclude Zero Balances</t>
  </si>
  <si>
    <t>Report Date:</t>
  </si>
  <si>
    <t>7/31/2013</t>
  </si>
  <si>
    <t>Allocate Unallocated Credits to Oldest</t>
  </si>
  <si>
    <t>Page 1 of 3</t>
  </si>
  <si>
    <t>Customer</t>
  </si>
  <si>
    <t>180 Days</t>
  </si>
  <si>
    <t>150 Days</t>
  </si>
  <si>
    <t>120 Days</t>
  </si>
  <si>
    <t>90 Days</t>
  </si>
  <si>
    <t>60 Days</t>
  </si>
  <si>
    <t>30 Days</t>
  </si>
  <si>
    <t>Current</t>
  </si>
  <si>
    <t>Balance</t>
  </si>
  <si>
    <t>ACCRUALS (ACCRUALS 07/08)</t>
  </si>
  <si>
    <t>1200000 (Department of Justice and Constitutional Developme)</t>
  </si>
  <si>
    <t>9400000 (Department of Public Service and Administration)</t>
  </si>
  <si>
    <t>70000 (Department of Social Development (DO NOT USE))</t>
  </si>
  <si>
    <t>7800000 (Department of Sport and Recreation)</t>
  </si>
  <si>
    <t>S400000 (EASTERN CAPE: S.A. SOCIAL SECURUTY AGENCY(SASSA))</t>
  </si>
  <si>
    <t>0200000 (Emfuleni Municipality)</t>
  </si>
  <si>
    <t>V300000 (FREE STATE TOUR, ENVIRON &amp; ECONOMIC AFFAIRS)</t>
  </si>
  <si>
    <t>7500000 (FREE STATE: NAT: SASSA)</t>
  </si>
  <si>
    <t>Q600800 (Gauteng Department of Education)</t>
  </si>
  <si>
    <t>Q601600 (GPG : DID Department of Infrastructure &amp; Developm )</t>
  </si>
  <si>
    <t>Q600200 (GPG:  Department of Roads and Transport)</t>
  </si>
  <si>
    <t>Q600600 (GPG: Agriculture,Conservation and Environment)</t>
  </si>
  <si>
    <t>Q601400 (GPG: Community Safety)</t>
  </si>
  <si>
    <t>Q600900 (GPG: Dept of Health &amp; Social  Development (SOCIA) )</t>
  </si>
  <si>
    <t>Q600400 (GPG: Dept Of Housing &amp; Local Govt (HOUSING))</t>
  </si>
  <si>
    <t>Q601200 (GPG: Finance and Economic Affairs)</t>
  </si>
  <si>
    <t>Q601700 (GPG: Gauteng Department of Finance (GSSC))</t>
  </si>
  <si>
    <t>Q200000 (GPG: Gauteng Department of Finance (TREASURY))</t>
  </si>
  <si>
    <t>Q600300 (GPG: Health &amp; Social Development (HEALTH))</t>
  </si>
  <si>
    <t>Q601000 (GPG: LEGISLATURE)</t>
  </si>
  <si>
    <t>Q601900 (GPG: Medsas)</t>
  </si>
  <si>
    <t>Q600100 (GPG: Office of the Premier)</t>
  </si>
  <si>
    <t>Q601500 (GPG: Sports,Arts, Culture and Recreation)</t>
  </si>
  <si>
    <t>Q601300 (Housing &amp; Local Government(LOCAL GOVT))</t>
  </si>
  <si>
    <t>Imphopoma (Imphopoma)</t>
  </si>
  <si>
    <t>Q100000 (Independent Complaints Directorate)</t>
  </si>
  <si>
    <t>1100000 (JHB Metropolitan Police)</t>
  </si>
  <si>
    <t>5500000 (KZN : MAPHUMULO MUNICIPALITY)</t>
  </si>
  <si>
    <t>5400000 (KZN : MPOFANA MUNICIPALITY)</t>
  </si>
  <si>
    <t>5200700 (KZN: DEPT. OF HEALTH )</t>
  </si>
  <si>
    <t>5201000 (KZN: Dept. of Local and Govt &amp; Traditional Affai  )</t>
  </si>
  <si>
    <t>5100000 (KZN: NAT: SASSA)</t>
  </si>
  <si>
    <t>5300000 (KZN:Umgungundlovu District Municipality)</t>
  </si>
  <si>
    <t>P300800 (LIMPOPO PROVINCE: DEPT. OF EDUCATION )</t>
  </si>
  <si>
    <t>P300300 (LIMPOPO PROVINCE: DEPT. OF FINANCE &amp; EXPENDITURE)</t>
  </si>
  <si>
    <t>P100000 (LIMPOPO: NAT: S.A. SOCIAL SECURITY AGENCY (SASSA))</t>
  </si>
  <si>
    <t>3600000 (METSWEDING DISTRICT MUNICIPALITY)</t>
  </si>
  <si>
    <t>2200000 (MOGALE CITY LOCAL MUNICIPALITY)</t>
  </si>
  <si>
    <t>9200000 (MPUMALANGA: NAT SASSA)</t>
  </si>
  <si>
    <t>1400001 (NAT:  HOUSING: HEAD OFFICE: PTA)</t>
  </si>
  <si>
    <t>600000 (NAT: Arts and Culture )</t>
  </si>
  <si>
    <t>4000000 (NAT: DEPARTMENT OF BASIC EDUCATION (DBE))</t>
  </si>
  <si>
    <t>K400000 (NAT: Department of Communication)</t>
  </si>
  <si>
    <t>2400000 (NAT: Department of Energy (DE))</t>
  </si>
  <si>
    <t>1400000 (NAT: Department of Housing)</t>
  </si>
  <si>
    <t>2600000 (NAT: Department of Minerals Resource )</t>
  </si>
  <si>
    <t>2700000 (NAT: Department of Provincial and Local Government)</t>
  </si>
  <si>
    <t>2800000 (NAT: Department of Public Enterprises)</t>
  </si>
  <si>
    <t>1900000 (NAT: Department of Public Works)</t>
  </si>
  <si>
    <t>700000 (NAT: Dept of Social Development)</t>
  </si>
  <si>
    <t>3400000 (NAT: DEPT. OF HIGHER EDUCATION AND TRAINING (DHET))</t>
  </si>
  <si>
    <t>4200000 (NAT: Dept. of Rural Development &amp; Land Reform)</t>
  </si>
  <si>
    <t>3700000 (NAT: Government Printing Works)</t>
  </si>
  <si>
    <t>1800000 (NAT: Home Affairs)</t>
  </si>
  <si>
    <t>3100000 (NAT: International Relations &amp; cooperation)</t>
  </si>
  <si>
    <t>2300000 (NAT: Office of the President )</t>
  </si>
  <si>
    <t>1600000 (NAT: PUBLIC SERVICE COMMISSION)</t>
  </si>
  <si>
    <t>3500000 (NAT: Service Products)</t>
  </si>
  <si>
    <t>3200000 (NAT: South African Law Reform Commission)</t>
  </si>
  <si>
    <t>1000000 (NAT: South African Social Security Agency)</t>
  </si>
  <si>
    <t>Q400000 (NAT: THE NATIONAL YOUTH COMMISSION)</t>
  </si>
  <si>
    <t>2100000 (NAT:Government Communication &amp; Information System )</t>
  </si>
  <si>
    <t>S800000 (NAT:Public admintration &amp; learedship Man.Academy)</t>
  </si>
  <si>
    <t>C800000 (National Prosecurity Authority of South Africa)</t>
  </si>
  <si>
    <t>B300000 (National Treasury)</t>
  </si>
  <si>
    <t>6600000 (NORTH WEST : NAT:S.A SOCIAL SECURITY AGENY (SASSA))</t>
  </si>
  <si>
    <t>8000000 (NORTHERN CAPE: NAT: SASSA)</t>
  </si>
  <si>
    <t>6700500 (Northwest Education)</t>
  </si>
  <si>
    <t>ORG1000 (ORG1000 SAMETCO)</t>
  </si>
  <si>
    <t>C900000 (Public Protector)</t>
  </si>
  <si>
    <t>Q600701 (Q600701-EMOYENI TRADING ENTITY)</t>
  </si>
  <si>
    <t>9100000 (SOUTH AFRICAN DEFENCE FORCE)</t>
  </si>
  <si>
    <t>6100000 (Statistics South Africa)</t>
  </si>
  <si>
    <t>5000000 (UMSHWATHI MUNICIPALITY:)</t>
  </si>
  <si>
    <t>6800000 (WESTERN CAPE: NAT: S. A. SOCIAL SECURITY AGENCY (S)</t>
  </si>
  <si>
    <t>Totals:</t>
  </si>
  <si>
    <t>4400000 (FREE STATE: NALEDI LOCAL MUNICIPALITY)</t>
  </si>
  <si>
    <t>0600000 (NAT: Arts and Culture )</t>
  </si>
  <si>
    <t>Opening</t>
  </si>
  <si>
    <t>April -13</t>
  </si>
  <si>
    <t>May -13</t>
  </si>
  <si>
    <t>June -13</t>
  </si>
  <si>
    <t>July-13</t>
  </si>
  <si>
    <t>July -13</t>
  </si>
  <si>
    <t>August-13</t>
  </si>
  <si>
    <t>September-13</t>
  </si>
  <si>
    <t>October-13</t>
  </si>
  <si>
    <t>November-13</t>
  </si>
  <si>
    <t>December-13</t>
  </si>
  <si>
    <t>January -14</t>
  </si>
  <si>
    <t>February -14</t>
  </si>
  <si>
    <t>March -14</t>
  </si>
  <si>
    <t>Disputed</t>
  </si>
  <si>
    <t>Military Veterans</t>
  </si>
  <si>
    <t>LIM : Limpopo Premier</t>
  </si>
  <si>
    <t>Department Local Government &amp; Traditional Affairs (LOCAL GOVERNMENT)</t>
  </si>
  <si>
    <t>LIMPOPO : LIM:Dept of Public Transport</t>
  </si>
  <si>
    <t>LIMPOPO : LIM:Dept of Agriculture</t>
  </si>
  <si>
    <t>KZN : Kwazulu Natal - Dept of Provincial Service Commission</t>
  </si>
  <si>
    <t>KZN: Department of Finance</t>
  </si>
  <si>
    <t>NAT: Dept of Performance Monitaring and Ecaluation</t>
  </si>
  <si>
    <t>NAT: State Expenditure</t>
  </si>
  <si>
    <t>g-Fleet Management bill</t>
  </si>
  <si>
    <t>Total billing</t>
  </si>
  <si>
    <t>Disputes April and May</t>
  </si>
  <si>
    <t>April -14</t>
  </si>
  <si>
    <t>May -14</t>
  </si>
  <si>
    <t>June -14</t>
  </si>
  <si>
    <t>July-14</t>
  </si>
  <si>
    <t>August-14</t>
  </si>
  <si>
    <t>September-14</t>
  </si>
  <si>
    <t>October-14</t>
  </si>
  <si>
    <t>November-14</t>
  </si>
  <si>
    <t>December-14</t>
  </si>
  <si>
    <t>January -15</t>
  </si>
  <si>
    <t>February -15</t>
  </si>
  <si>
    <t>March -15</t>
  </si>
  <si>
    <t>21 March -15</t>
  </si>
  <si>
    <t>31 March -15</t>
  </si>
  <si>
    <t>EASTERN CAPE : EC:South Africa  Social Security  Agency (SASSA)</t>
  </si>
  <si>
    <t>Gauteng Department of Roads &amp; Transport</t>
  </si>
  <si>
    <t>NAT: Department of Telecommunication and Postal services</t>
  </si>
  <si>
    <t>NAT: Dept of Performance Monitaring and Evaluation</t>
  </si>
  <si>
    <t>GPG: Gauteng Department of Finance (GDF)</t>
  </si>
  <si>
    <t>EC: Dept of Transport</t>
  </si>
  <si>
    <t>NAT: Government Pensions Administration Agency (GPAA)</t>
  </si>
  <si>
    <t>NAT: Office of The Chief Justice</t>
  </si>
  <si>
    <t>WC: The Nat: Prosecuting Authority of S.A</t>
  </si>
  <si>
    <t>DR Kenneth Kaunda Municipality</t>
  </si>
  <si>
    <t>April -15</t>
  </si>
  <si>
    <t>May -15</t>
  </si>
  <si>
    <t>June -15</t>
  </si>
  <si>
    <t>July-15</t>
  </si>
  <si>
    <t>August-15</t>
  </si>
  <si>
    <t>September-15</t>
  </si>
  <si>
    <t>October-15</t>
  </si>
  <si>
    <t>November-15</t>
  </si>
  <si>
    <t>December-15</t>
  </si>
  <si>
    <t>January -16</t>
  </si>
  <si>
    <t>February -16</t>
  </si>
  <si>
    <t>March -16</t>
  </si>
  <si>
    <t>20 March -16</t>
  </si>
  <si>
    <t>31 March -16</t>
  </si>
  <si>
    <t>TOTAL BILLING</t>
  </si>
  <si>
    <t xml:space="preserve">TOTAL PAYMENT </t>
  </si>
  <si>
    <t>OUTSTANDING AMOUNT</t>
  </si>
  <si>
    <t xml:space="preserve">Gauteng Department of Health </t>
  </si>
  <si>
    <t>GPG: Gauteng Department of Human Settlement</t>
  </si>
  <si>
    <t xml:space="preserve"> Gauteng Department of Social Development</t>
  </si>
  <si>
    <t>National Prosecuting Authority of South Africa</t>
  </si>
  <si>
    <t>GPG: Gauteng Department of Treasury</t>
  </si>
  <si>
    <t>GPG: Gauteng Department of e-Government (GDF)</t>
  </si>
  <si>
    <t>NAT: Dept of Nat School of Government</t>
  </si>
  <si>
    <t>Gauteng : Co-Operative Governance &amp; Traditional Affairs</t>
  </si>
  <si>
    <t>EC: Dept of Health</t>
  </si>
  <si>
    <t>Department of Communication</t>
  </si>
  <si>
    <t>GPG: Dept. Sport &amp; Culture: Head Office LP</t>
  </si>
  <si>
    <t>Dept The Office Finanacial Intellegence Centre</t>
  </si>
  <si>
    <t xml:space="preserve">Nat: Central Economical Advisory Service </t>
  </si>
  <si>
    <t>NAT: Secretary Of The Parliament</t>
  </si>
  <si>
    <t>FS: Dept of provincial Service Commission</t>
  </si>
  <si>
    <t>Total payment</t>
  </si>
  <si>
    <t>Reason for non -payment</t>
  </si>
  <si>
    <t>April -16</t>
  </si>
  <si>
    <t>May -16</t>
  </si>
  <si>
    <t>June -16</t>
  </si>
  <si>
    <t>July-16</t>
  </si>
  <si>
    <t>August-16</t>
  </si>
  <si>
    <t>September-16</t>
  </si>
  <si>
    <t>October-16</t>
  </si>
  <si>
    <t>November-16</t>
  </si>
  <si>
    <t>December-16</t>
  </si>
  <si>
    <t>January -17</t>
  </si>
  <si>
    <t>February -17</t>
  </si>
  <si>
    <t>31 March -17</t>
  </si>
  <si>
    <t>15 March -17</t>
  </si>
  <si>
    <t>This department is only owing current invoice and they are reconcilling invoice.</t>
  </si>
  <si>
    <t>This department is paying on a daily basis and they are experiencing a cash flow difficulties. However this matter has been escalated to the office of the MEC.</t>
  </si>
  <si>
    <t>Notwithstanding the financial problems that this department has reported, however they have reported to have compiled R32m that is awaiting approval.</t>
  </si>
  <si>
    <t>This balance is going to be written off as this client does not exist and was mistakenly billed.</t>
  </si>
  <si>
    <t xml:space="preserve">This department is recocilling all the unpaid invoices.  </t>
  </si>
  <si>
    <t>This balance is going to be written off as this client does not exist and was mistankely billed.</t>
  </si>
  <si>
    <t>This department is only owing November  and December  invoices which they are currently reconciling.</t>
  </si>
  <si>
    <t>This department is still reconciling all the unpaid invoices .</t>
  </si>
  <si>
    <t>This department does not utilise the entity's services and billing against should not have happened as they have returned all the vehicles.This balance is included in the write-off schedule.</t>
  </si>
  <si>
    <t>This department does not utilise the entity's services anymore and billing against this client should not have happened as they have returned all the vehicles.This balance is included in the write-off schedule.</t>
  </si>
  <si>
    <t xml:space="preserve">This department makes shortpayments every month  because they dispute some charges.The entity has engaged them on this matter.We are awiting the feedback from them. </t>
  </si>
  <si>
    <t>This department is only owing August , November and december invoices which they are currently reconciling.The August invoice include the audited correction of billing errors  on Fleet Information System</t>
  </si>
  <si>
    <t>This department is disputing some charges and the entity has since sent them communication clarifying their queries.</t>
  </si>
  <si>
    <t>This department is still reconciling all the unpaid invoices especially that we have processed all the audited adjustments on billing .</t>
  </si>
  <si>
    <t>This client is inactive and the balance will be written off as it is long overdue.</t>
  </si>
  <si>
    <t>The client is still experiencing a problem with the CSD system,  G-FleeT is trying to resolve this matter.</t>
  </si>
  <si>
    <t>They have put the payments on hold as they want the SLA fixed.</t>
  </si>
  <si>
    <t>They are still verifying all the unpaid invoices.</t>
  </si>
  <si>
    <t>This client is disputing some charges .The entity has investigated these issues and feedback will be provided to the client.</t>
  </si>
  <si>
    <t>This department is only owing November and December invoices which they are currently reconciling.</t>
  </si>
  <si>
    <t>They are disputing some charges and the entity is looking into these transactions.</t>
  </si>
  <si>
    <t>They are still verifying the charges of all unpaid invoices.</t>
  </si>
  <si>
    <t>This department is owing November and December 2016 invoices .</t>
  </si>
  <si>
    <t>This client is no longer active and they are disputing the balance.</t>
  </si>
  <si>
    <t>They are owing two months only and they are verifying the charges.</t>
  </si>
  <si>
    <t>This client is inactive and is disputing the charges.</t>
  </si>
  <si>
    <t>NAT: Dept of Performance Monitoring and Evaluation</t>
  </si>
  <si>
    <t>They are disputing the old balance and the entity still investigating.</t>
  </si>
  <si>
    <t>This department is owing two months only and they are verifying the charges.</t>
  </si>
  <si>
    <t>This department is only current invoice and they are reconcilling invoice.</t>
  </si>
  <si>
    <t>They are still reconcilling all the unpaid invoices.</t>
  </si>
  <si>
    <t>This client is inactive and is disputing the charges.This balance will be included in the debt write-off schedule.</t>
  </si>
  <si>
    <t>This client takes to reconcile invoices but the entity engaging them on continuous basis.</t>
  </si>
  <si>
    <t>not applicable</t>
  </si>
  <si>
    <t>This client is up to date with payments</t>
  </si>
  <si>
    <t>LIMPOPO : Dept of Local Government</t>
  </si>
  <si>
    <t>The client is being engaged  on this balance.</t>
  </si>
  <si>
    <t xml:space="preserve"> </t>
  </si>
  <si>
    <t>The client has promised to pay all unpaid invoices</t>
  </si>
  <si>
    <t>They owe old balance and have promised to pay all unpaid invoice</t>
  </si>
  <si>
    <t>They are still reconcilling all unpaid invoices.</t>
  </si>
  <si>
    <t>KZN :Dept of The Premier's Office</t>
  </si>
  <si>
    <t>A letter of Demand was written to the Chief Justice through the office of the MEC. However we requested a meeting and we are still waiting for their response.</t>
  </si>
  <si>
    <t>This client is being engaged on this matter and has promised to pay.</t>
  </si>
  <si>
    <t>EC: Umzimvubu Local Munucipality</t>
  </si>
  <si>
    <t>KZN: Provincial Treasury</t>
  </si>
  <si>
    <t>This client is inactive but were affected by adjustments and the balance will be written off.</t>
  </si>
  <si>
    <t>Local Government: Ekurhuleni Metropolitan Municipality</t>
  </si>
  <si>
    <t>NAT: Trade &amp; Industry</t>
  </si>
  <si>
    <t>They owing three invoices and still reconciling and verifying the charges</t>
  </si>
  <si>
    <t>KZN : Umhlathuzi Municipality</t>
  </si>
  <si>
    <t>PETROL CARD ISSUED</t>
  </si>
  <si>
    <t>DEBTORS  WRITE OFF</t>
  </si>
  <si>
    <t>April -17</t>
  </si>
  <si>
    <t>May -17</t>
  </si>
  <si>
    <t>June -17</t>
  </si>
  <si>
    <t>July-17</t>
  </si>
  <si>
    <t>August-17</t>
  </si>
  <si>
    <t>September-17</t>
  </si>
  <si>
    <t>October-17</t>
  </si>
  <si>
    <t>November-17</t>
  </si>
  <si>
    <t>December-17</t>
  </si>
  <si>
    <t>January -18</t>
  </si>
  <si>
    <t>February -18</t>
  </si>
  <si>
    <t>31 March -18</t>
  </si>
  <si>
    <t>15 March -18</t>
  </si>
  <si>
    <t>YES</t>
  </si>
  <si>
    <t>NO</t>
  </si>
  <si>
    <t>EASTERN CAPE: Sport &amp; Recreation</t>
  </si>
  <si>
    <t>EASTERN CAPE:EC: TRANSPORT</t>
  </si>
  <si>
    <t>EASTERN CAPE:EC: EDUCATION</t>
  </si>
  <si>
    <t>Emoyeni &amp; Imphompoma</t>
  </si>
  <si>
    <t>FS Dept of Social development</t>
  </si>
  <si>
    <t>LP: Dept of Economic Development, Environmental &amp; Tourism</t>
  </si>
  <si>
    <t>NAT: ECONOMIC DEVELOPMENT</t>
  </si>
  <si>
    <t xml:space="preserve">L: PUBLIC WORKS </t>
  </si>
  <si>
    <t>DEPARTMENT</t>
  </si>
  <si>
    <t>April -18</t>
  </si>
  <si>
    <t>May -18</t>
  </si>
  <si>
    <t>June -18</t>
  </si>
  <si>
    <t>July-18</t>
  </si>
  <si>
    <t>August-18</t>
  </si>
  <si>
    <t>September-18</t>
  </si>
  <si>
    <t>October-18</t>
  </si>
  <si>
    <t>November-18</t>
  </si>
  <si>
    <t>December-18</t>
  </si>
  <si>
    <t>January -19</t>
  </si>
  <si>
    <t>February -19</t>
  </si>
  <si>
    <t>31 March -19</t>
  </si>
  <si>
    <t>L: AGRICULTURE</t>
  </si>
  <si>
    <t xml:space="preserve">L: SPORT, ARTS &amp; CULTURE </t>
  </si>
  <si>
    <t>NAT:  INFORMATION TECHNOLOGY AGENCY (SITA)</t>
  </si>
  <si>
    <t>L: PUBLIC TRANSPORT</t>
  </si>
  <si>
    <t>GPG: INFRASTRUCTURE FINANCING AGENCY</t>
  </si>
  <si>
    <t>National : Co-Operative Governance &amp; Traditional Affairs</t>
  </si>
  <si>
    <t>NW: Public works</t>
  </si>
  <si>
    <t>L: Econ, Trade &amp; Industry</t>
  </si>
  <si>
    <t>April -19</t>
  </si>
  <si>
    <t>May -19</t>
  </si>
  <si>
    <t>June -19</t>
  </si>
  <si>
    <t>July-19</t>
  </si>
  <si>
    <t>August-19</t>
  </si>
  <si>
    <t>September-19</t>
  </si>
  <si>
    <t>October-19</t>
  </si>
  <si>
    <t>November-19</t>
  </si>
  <si>
    <t>December-19</t>
  </si>
  <si>
    <t>January -20</t>
  </si>
  <si>
    <t>February -20</t>
  </si>
  <si>
    <t>31 March -20</t>
  </si>
  <si>
    <t>Gauteng Treasury</t>
  </si>
  <si>
    <t>LP: Dept of Economic Development ,Environmental &amp; Tourism</t>
  </si>
  <si>
    <t xml:space="preserve">L: FINANCE &amp; EXPENDITURE </t>
  </si>
  <si>
    <t>L: HEALTH &amp; WELFARE</t>
  </si>
  <si>
    <t xml:space="preserve">NAT: PUBLIC PROTECTOR </t>
  </si>
  <si>
    <t>NW:  COMMUNITY SAFETY &amp; TRANSPORT MANAGEMENT</t>
  </si>
  <si>
    <t>NAT: PUBLIC ENTERPRISES</t>
  </si>
  <si>
    <t>NAT: SECRETARY OF THE PARLIAMENT</t>
  </si>
  <si>
    <t>NAT: YOUTH DEVELOPMENT AGENCY</t>
  </si>
  <si>
    <t>L: EDUCATION</t>
  </si>
  <si>
    <t>NAT: SMALL BUSINESS DEVELOPMENT</t>
  </si>
  <si>
    <t>LIMPOPO PROVINCIAL TREASURY</t>
  </si>
  <si>
    <t xml:space="preserve">L: CO-OPERATIVE GOVERNANCE, HUMAN SETTLEMENTS </t>
  </si>
  <si>
    <t>April -20</t>
  </si>
  <si>
    <t>May -20</t>
  </si>
  <si>
    <t>June -20</t>
  </si>
  <si>
    <t>July-20</t>
  </si>
  <si>
    <t>August-20</t>
  </si>
  <si>
    <t>September-20</t>
  </si>
  <si>
    <t>October-20</t>
  </si>
  <si>
    <t>November-20</t>
  </si>
  <si>
    <t>December-20</t>
  </si>
  <si>
    <t>January -21</t>
  </si>
  <si>
    <t>February -21</t>
  </si>
  <si>
    <t>31 March -21</t>
  </si>
  <si>
    <t xml:space="preserve">L: DEPARTMENT OF SOCIAL DEVELOPMENT </t>
  </si>
  <si>
    <t>NAT: HEALTH</t>
  </si>
  <si>
    <t>General Ledger Cashbook Batch</t>
  </si>
  <si>
    <t>Mod</t>
  </si>
  <si>
    <t>Date</t>
  </si>
  <si>
    <t>Account</t>
  </si>
  <si>
    <t>Reference</t>
  </si>
  <si>
    <t>Name of Department</t>
  </si>
  <si>
    <t>Description</t>
  </si>
  <si>
    <t>Deposit</t>
  </si>
  <si>
    <t>AR</t>
  </si>
  <si>
    <t>05.01.2021</t>
  </si>
  <si>
    <t>EFTJANUARY2021</t>
  </si>
  <si>
    <t>Payment Received. Thank you</t>
  </si>
  <si>
    <t>11.01.2021</t>
  </si>
  <si>
    <t>12.01.2021</t>
  </si>
  <si>
    <t>Q600400</t>
  </si>
  <si>
    <t>Q601300</t>
  </si>
  <si>
    <t>Q601200</t>
  </si>
  <si>
    <t>13.01.2021</t>
  </si>
  <si>
    <t>Q600300</t>
  </si>
  <si>
    <t>Q601600</t>
  </si>
  <si>
    <t>14.01.2021</t>
  </si>
  <si>
    <t>18.01.2021</t>
  </si>
  <si>
    <t>Q100000</t>
  </si>
  <si>
    <t>29.01.2021</t>
  </si>
  <si>
    <t>Q600100</t>
  </si>
  <si>
    <t>P300700</t>
  </si>
  <si>
    <t>19.01.2021</t>
  </si>
  <si>
    <t>C800000</t>
  </si>
  <si>
    <t>Q600900</t>
  </si>
  <si>
    <t>Q601500</t>
  </si>
  <si>
    <t>21.01.2021</t>
  </si>
  <si>
    <t>25.01.2021</t>
  </si>
  <si>
    <t>Q600800</t>
  </si>
  <si>
    <t>26.01.2021</t>
  </si>
  <si>
    <t>Q601000</t>
  </si>
  <si>
    <t>B400000</t>
  </si>
  <si>
    <t>27.01.2021</t>
  </si>
  <si>
    <t>S800000</t>
  </si>
  <si>
    <t>28.01.2021</t>
  </si>
  <si>
    <t>P400000</t>
  </si>
  <si>
    <t>PETROL CARD - DEBTORS UPDATE</t>
  </si>
  <si>
    <t>YES/NO</t>
  </si>
  <si>
    <t>COMMENTS</t>
  </si>
  <si>
    <t>Commitment letter issued</t>
  </si>
  <si>
    <t>Ignore</t>
  </si>
  <si>
    <t>this client does not exist anymore</t>
  </si>
  <si>
    <t>April -21</t>
  </si>
  <si>
    <t>May -21</t>
  </si>
  <si>
    <t>June -21</t>
  </si>
  <si>
    <t>July-21</t>
  </si>
  <si>
    <t>August-21</t>
  </si>
  <si>
    <t>September-21</t>
  </si>
  <si>
    <t>October-21</t>
  </si>
  <si>
    <t>November-21</t>
  </si>
  <si>
    <t>December-21</t>
  </si>
  <si>
    <t>January -22</t>
  </si>
  <si>
    <t>February -22</t>
  </si>
  <si>
    <t>31 March -22</t>
  </si>
  <si>
    <t>Sap Code</t>
  </si>
  <si>
    <t>Transaction Date</t>
  </si>
  <si>
    <t xml:space="preserve">Posting Date </t>
  </si>
  <si>
    <t>Amount</t>
  </si>
  <si>
    <t>Currency</t>
  </si>
  <si>
    <t xml:space="preserve">Item Text </t>
  </si>
  <si>
    <t>General Ledger</t>
  </si>
  <si>
    <t>Cost Center</t>
  </si>
  <si>
    <t>Order</t>
  </si>
  <si>
    <t>Fund</t>
  </si>
  <si>
    <t>Functional Area</t>
  </si>
  <si>
    <t>Text</t>
  </si>
  <si>
    <t>Allow additional assignment</t>
  </si>
  <si>
    <t>Net Asset</t>
  </si>
  <si>
    <t>Regional Ind</t>
  </si>
  <si>
    <t>Infrastructure</t>
  </si>
  <si>
    <t>Matching Field</t>
  </si>
  <si>
    <t>Reason Code</t>
  </si>
  <si>
    <t>01.07.2021</t>
  </si>
  <si>
    <t>EFTJULY2021</t>
  </si>
  <si>
    <t>31.07.2021</t>
  </si>
  <si>
    <t>ZAR</t>
  </si>
  <si>
    <t>FIS gFleeT Receipts</t>
  </si>
  <si>
    <t>X</t>
  </si>
  <si>
    <t>01</t>
  </si>
  <si>
    <t>02.07.2021</t>
  </si>
  <si>
    <t>Y100000</t>
  </si>
  <si>
    <t>05.07.2021</t>
  </si>
  <si>
    <t>06.07.2021</t>
  </si>
  <si>
    <t>07.07.2021</t>
  </si>
  <si>
    <t>B300000</t>
  </si>
  <si>
    <t>08.07.2021</t>
  </si>
  <si>
    <t>09.07.2021</t>
  </si>
  <si>
    <t>Q601400</t>
  </si>
  <si>
    <t>12.07.2021</t>
  </si>
  <si>
    <t>13.07.2021</t>
  </si>
  <si>
    <t>14.07.2021</t>
  </si>
  <si>
    <t>15.07.2021</t>
  </si>
  <si>
    <t>P300900</t>
  </si>
  <si>
    <t>P300100</t>
  </si>
  <si>
    <t>16.07.2021</t>
  </si>
  <si>
    <t>19.07.2021</t>
  </si>
  <si>
    <t>20.07.2021</t>
  </si>
  <si>
    <t>Q601900</t>
  </si>
  <si>
    <t>Q200000</t>
  </si>
  <si>
    <t>26.07.2021</t>
  </si>
  <si>
    <t>21.07.2021</t>
  </si>
  <si>
    <t>23.07.2021</t>
  </si>
  <si>
    <t>22.07.2021</t>
  </si>
  <si>
    <t>Y800000</t>
  </si>
  <si>
    <t>27.07.2021</t>
  </si>
  <si>
    <t>30.07.2021</t>
  </si>
  <si>
    <t>Q600200</t>
  </si>
  <si>
    <t>Q601700</t>
  </si>
  <si>
    <t>g-Fleet Management</t>
  </si>
  <si>
    <t>Department Name</t>
  </si>
  <si>
    <t>02.08.2021</t>
  </si>
  <si>
    <t>EFTAUGUST2021</t>
  </si>
  <si>
    <t>13.08.2021</t>
  </si>
  <si>
    <t>03.08.2021</t>
  </si>
  <si>
    <t>04.08.2021</t>
  </si>
  <si>
    <t>Y500000</t>
  </si>
  <si>
    <t>05.08.2021</t>
  </si>
  <si>
    <t>08.08.2021</t>
  </si>
  <si>
    <t>06.08.2021</t>
  </si>
  <si>
    <t>10.08.2021</t>
  </si>
  <si>
    <t>11.08.2021</t>
  </si>
  <si>
    <t>12.08.2021</t>
  </si>
  <si>
    <t>16.08.2021</t>
  </si>
  <si>
    <t>Q600600</t>
  </si>
  <si>
    <t>19.08.2021</t>
  </si>
  <si>
    <t>20.08.2021</t>
  </si>
  <si>
    <t>K400000</t>
  </si>
  <si>
    <t>23.08.2021</t>
  </si>
  <si>
    <t>24.08.2021</t>
  </si>
  <si>
    <t>25.08.2021</t>
  </si>
  <si>
    <t>26.08.2021</t>
  </si>
  <si>
    <t>27.08.2021</t>
  </si>
  <si>
    <t>30.08.2021</t>
  </si>
  <si>
    <t>31.08.2021</t>
  </si>
  <si>
    <t>GRAND TOTAL</t>
  </si>
  <si>
    <t>Q600300 (GPG: Gauteng Dept of  Health)</t>
  </si>
  <si>
    <t>4500000 (Office of the Chief Justice (OCJ))</t>
  </si>
  <si>
    <t>Q600900 (GPG: Gauteng  Dept of Social Development)</t>
  </si>
  <si>
    <t>Q600400 (GPG: Gauteng Dept Of Human Settlement)</t>
  </si>
  <si>
    <t>Q601300 (GPG: Co-Operative Governance &amp; Traditional affairs)</t>
  </si>
  <si>
    <t>B400000 (Government Pensions Administration Agency(GPAA))</t>
  </si>
  <si>
    <t>9600000 (NAT: MILITARY VETERANS)</t>
  </si>
  <si>
    <t>Q601200 (GPG: Gauteng Economic Development)</t>
  </si>
  <si>
    <t>Q600600 (GPG: Agriculture and Rural Development)</t>
  </si>
  <si>
    <t>Q100000 (Independent Police Investigative Directorate)</t>
  </si>
  <si>
    <t>Y600000 NAT:  COOPERATIVE GOVERNANCE</t>
  </si>
  <si>
    <t>P300200 (LIMPOPO PROVINCE: DEPT. OF ECONOMIC DEVELOPMENT,  ENVIRONMENT &amp; TOURISM)</t>
  </si>
  <si>
    <t>Q200000 (GPG: Gauteng Department of TREASURY)</t>
  </si>
  <si>
    <t xml:space="preserve">P400000 L: SPORT, ARTS &amp; CULTURE </t>
  </si>
  <si>
    <t>S800000 (NAT: School Of Governance)</t>
  </si>
  <si>
    <t>Q601700 (GPG: Gauteng Department of e-Gov (GDF))</t>
  </si>
  <si>
    <t>5900000 (Department of Communication)</t>
  </si>
  <si>
    <t>P300700 (LIMPOPO PROVINCE: DEPT. OF PUBLIC WORKS)</t>
  </si>
  <si>
    <t>2500000 (NAT: Economic Development National)</t>
  </si>
  <si>
    <t>1400000 (NAT: Department of Human Settlement</t>
  </si>
  <si>
    <t>6001000 NAT: SECRETARY OF THE PARLIAMENT</t>
  </si>
  <si>
    <t>Q602000 (Gauteng Infrastructure Financing Agency(GIFA))</t>
  </si>
  <si>
    <t>K400000 (NAT: Department Of Telecommunication Postal Servic)</t>
  </si>
  <si>
    <t>P300100 (Limpopo  Premier)</t>
  </si>
  <si>
    <t>Y500000 (Nat: Sita Information Technology Agency)</t>
  </si>
  <si>
    <t>P300200 (LIMPOPO PROVINCE: DEPT. OF ECON. TRADE &amp; INDUSTRY)</t>
  </si>
  <si>
    <t>NAT: SASSA - GP</t>
  </si>
  <si>
    <t>280000 NAT: PUBLIC ENTERPRISES</t>
  </si>
  <si>
    <t>490000 NAT: SMALL BUSINESS DEVELOPMENT</t>
  </si>
  <si>
    <t xml:space="preserve">Y800000 L: CO-OPERATIVE GOVERNANCE, HUMAN SETTLEMENTS </t>
  </si>
  <si>
    <t>Y100000 NAT: HEALTH</t>
  </si>
  <si>
    <t>WC: THE NAT. PROSECUTING AUTHORITY OF S. A. (NPA)</t>
  </si>
  <si>
    <t>6701000 (North West - Public Works)</t>
  </si>
  <si>
    <t>900000 (DR KENNETH KAUNDA DISTRICT MUNICIPALITY)</t>
  </si>
  <si>
    <t>800000 (Performance Monitoring &amp; EValuation)</t>
  </si>
  <si>
    <t>5600000 (Umhlathuzi Municipality (KZN))</t>
  </si>
  <si>
    <t>Q601100 (Dept of Sports, Arts and Culture: Head Office (LP))</t>
  </si>
  <si>
    <t>1300000 (Local Government  (EKURHULENI) )</t>
  </si>
  <si>
    <t>BatchDate</t>
  </si>
  <si>
    <t>Type</t>
  </si>
  <si>
    <t>FS: NAT: SASSA (FS)</t>
  </si>
  <si>
    <t>LEASE</t>
  </si>
  <si>
    <t>GPG: AGRICULTURE &amp; RURAL DEVELOPMENT</t>
  </si>
  <si>
    <t>FIXED</t>
  </si>
  <si>
    <t>MANKM</t>
  </si>
  <si>
    <t>GPG: COMMUNITY SAFETY</t>
  </si>
  <si>
    <t>OILTU</t>
  </si>
  <si>
    <t>TOLLF</t>
  </si>
  <si>
    <t xml:space="preserve">FUEL </t>
  </si>
  <si>
    <t>GPG: CO-OPERATIVE GOVERNANCE &amp; TRADITIONAL AFFAIRS</t>
  </si>
  <si>
    <t>GPG: ECONOMIC DEVELOPMENT</t>
  </si>
  <si>
    <t>GPG: EDUCATION</t>
  </si>
  <si>
    <t>REVLS</t>
  </si>
  <si>
    <t xml:space="preserve">VIP  </t>
  </si>
  <si>
    <t>GPG: e-GOVERNMENT</t>
  </si>
  <si>
    <t>GPG: G-FLEET MANAGEMENT</t>
  </si>
  <si>
    <t>REVFX</t>
  </si>
  <si>
    <t>GPG: HEALTH</t>
  </si>
  <si>
    <t>KILOS</t>
  </si>
  <si>
    <t>GPG: HUMAN SETTLEMENTS</t>
  </si>
  <si>
    <t>GPG: INFRASTRUCTURE DEVELOPMENT</t>
  </si>
  <si>
    <t>GPG: MEDICAL SUPPLIERS ASSOCIATION (MEDSAS)</t>
  </si>
  <si>
    <t>GPG: OFFICE OF THE PREMIER</t>
  </si>
  <si>
    <t>GPG: PROVINCIAL TREASURY</t>
  </si>
  <si>
    <t>GPG: ROADS &amp; TRANSPORT</t>
  </si>
  <si>
    <t>GPG: SOCIAL DEVELOPMENT</t>
  </si>
  <si>
    <t>GPG: SPORT,RECREATION,ARTS &amp; CULTURE</t>
  </si>
  <si>
    <t>L: NAT: SASSA - (L)</t>
  </si>
  <si>
    <t>L: THE PREMIERS` OFFICE</t>
  </si>
  <si>
    <t>LG: KZN: MPOFANA MUNICIPALITY</t>
  </si>
  <si>
    <t>LG: KZN: uMGUNGUNDLOVU DISTRICT MUNICIPALITY</t>
  </si>
  <si>
    <t>NAT:  COOPERATIVE GOVERNANCE</t>
  </si>
  <si>
    <t>NAT: ARTS &amp; CULTURE</t>
  </si>
  <si>
    <t>NAT: BASIC EDUCATION</t>
  </si>
  <si>
    <t>NAT: ENERGY</t>
  </si>
  <si>
    <t>NAT: GOVERNMENT COMMUNICATION &amp; INFORMATION SYSTEMS</t>
  </si>
  <si>
    <t xml:space="preserve">NAT: GOVERNMENT PENSIONS ADMINISTRATION AGENCY (GPAA) </t>
  </si>
  <si>
    <t>NAT: GOVERNMENT PRINTER</t>
  </si>
  <si>
    <t>NAT: HIGHER EDUCATION &amp; TRAINING</t>
  </si>
  <si>
    <t>NAT: HOME AFFAIRS</t>
  </si>
  <si>
    <t>NAT: HOUSING</t>
  </si>
  <si>
    <t>NAT: INDEPENDENT POLICE INVESTIGATIVE DIRECTORATE (IPID)</t>
  </si>
  <si>
    <t>NAT: INTERNATIONAL RELATIONS &amp; COOPERATION</t>
  </si>
  <si>
    <t>NAT: JUSTICE &amp; CONSTITUTIONAL DEVELOPMENT</t>
  </si>
  <si>
    <t>NAT: MILITARY VETERANS</t>
  </si>
  <si>
    <t>NAT: MINERAL RESOURCES</t>
  </si>
  <si>
    <t>NAT: NATIONAL  PARLIAMENT</t>
  </si>
  <si>
    <t>NAT: NATIONAL TREASURY</t>
  </si>
  <si>
    <t>NAT: OFFICE OF THE CHIEF JUSTICE</t>
  </si>
  <si>
    <t>NAT: PROSECUTING AUTHORITY</t>
  </si>
  <si>
    <t>NAT: PUBLIC SERVICE &amp; ADMINISTRATION</t>
  </si>
  <si>
    <t>NAT: PUBLIC SERVICE COMMISSION</t>
  </si>
  <si>
    <t>NAT: PUBLIC WORKS</t>
  </si>
  <si>
    <t>NAT: RURAL DEVELOPMENT &amp; LAND REFORM</t>
  </si>
  <si>
    <t>RVVIP</t>
  </si>
  <si>
    <t>NAT: SASSA - EC</t>
  </si>
  <si>
    <t>NAT: SASSA - KZN</t>
  </si>
  <si>
    <t>NAT: SCHOOL OF GOVERNMENT</t>
  </si>
  <si>
    <t>NAT: SERVICE PRODUCTS</t>
  </si>
  <si>
    <t>NAT: SOCIAL DEVELOPMENT</t>
  </si>
  <si>
    <t>NAT: SPORT &amp; RECREATION SA</t>
  </si>
  <si>
    <t>NAT: STATISTICS S.A.</t>
  </si>
  <si>
    <t>NAT: THE PRESIDENCY</t>
  </si>
  <si>
    <t>Total</t>
  </si>
  <si>
    <t>REVKM</t>
  </si>
  <si>
    <t>NAT: TELECOMMUNICATIONS &amp; POSTAL SERVICES</t>
  </si>
  <si>
    <t>GPG: SPORT RECREATION ARTS &amp; CULTURE</t>
  </si>
  <si>
    <t>L: CO-OPERATIVE GOVERNANCE HUMAN SETTLEMENTS</t>
  </si>
  <si>
    <t>L: SPORT ARTS  &amp; CULTURE</t>
  </si>
  <si>
    <t>RVTLF</t>
  </si>
  <si>
    <t>REVFL</t>
  </si>
  <si>
    <t>L: ECONOMIC DEVELOPMENT ENVIRONMENT &amp; TOURISM</t>
  </si>
  <si>
    <t>Cleared/open items symbol</t>
  </si>
  <si>
    <t>Assignment</t>
  </si>
  <si>
    <t>Document Number</t>
  </si>
  <si>
    <t>Business Area</t>
  </si>
  <si>
    <t>Document Type</t>
  </si>
  <si>
    <t>Document Date</t>
  </si>
  <si>
    <t>Posting Key</t>
  </si>
  <si>
    <t>Amount in local currency</t>
  </si>
  <si>
    <t>Local Currency</t>
  </si>
  <si>
    <t>Tax code</t>
  </si>
  <si>
    <t>Clearing Document</t>
  </si>
  <si>
    <t>20220124</t>
  </si>
  <si>
    <t>100015580</t>
  </si>
  <si>
    <t>0001</t>
  </si>
  <si>
    <t>SA</t>
  </si>
  <si>
    <t>50</t>
  </si>
  <si>
    <t>07.01.2022</t>
  </si>
  <si>
    <t>HOME AFFAIRS 07.1.2022</t>
  </si>
  <si>
    <t>100015581</t>
  </si>
  <si>
    <t>10.01.2022</t>
  </si>
  <si>
    <t>COMM SAFETY 10.01.2022</t>
  </si>
  <si>
    <t>20220125</t>
  </si>
  <si>
    <t>100015582</t>
  </si>
  <si>
    <t>11.01.2022</t>
  </si>
  <si>
    <t>OCJ 11.01.2021</t>
  </si>
  <si>
    <t>100015583</t>
  </si>
  <si>
    <t>12.01.2022</t>
  </si>
  <si>
    <t>PARLIAMENT 12.01.2022</t>
  </si>
  <si>
    <t>100015584</t>
  </si>
  <si>
    <t>14.01.2022</t>
  </si>
  <si>
    <t>GOGTA 14.01.2022</t>
  </si>
  <si>
    <t>100015587</t>
  </si>
  <si>
    <t>LP OFIICE OFPREMI14.01.22</t>
  </si>
  <si>
    <t>100015588</t>
  </si>
  <si>
    <t>LP SPORTS 14.01.2022</t>
  </si>
  <si>
    <t>100015589</t>
  </si>
  <si>
    <t>DIRCO 14.01.2022</t>
  </si>
  <si>
    <t>100015590</t>
  </si>
  <si>
    <t>NAT HEALTH 14.01.2022</t>
  </si>
  <si>
    <t>100015591</t>
  </si>
  <si>
    <t>GPG TREASURY 14.01.2022</t>
  </si>
  <si>
    <t>100015594</t>
  </si>
  <si>
    <t>17.01.2022</t>
  </si>
  <si>
    <t>OCJ 17.01.2022</t>
  </si>
  <si>
    <t>100015595</t>
  </si>
  <si>
    <t>MEDSAS 17.01.2022</t>
  </si>
  <si>
    <t>100015596</t>
  </si>
  <si>
    <t>18.01.2022</t>
  </si>
  <si>
    <t>NAT PUBL COMM 18.01.2022</t>
  </si>
  <si>
    <t>100015597</t>
  </si>
  <si>
    <t>GPAA 18.01.2022</t>
  </si>
  <si>
    <t>100015598</t>
  </si>
  <si>
    <t>20.01.2022</t>
  </si>
  <si>
    <t>RURAL DEV 20.01.2022</t>
  </si>
  <si>
    <t>100015599</t>
  </si>
  <si>
    <t>OCJ 20.01.2022</t>
  </si>
  <si>
    <t>100015600</t>
  </si>
  <si>
    <t>21.01.2022</t>
  </si>
  <si>
    <t>OFFICE OF PREMIE21.01.22</t>
  </si>
  <si>
    <t>100015601</t>
  </si>
  <si>
    <t>HOME AFFAIRS 21.01.2022</t>
  </si>
  <si>
    <t>100015602</t>
  </si>
  <si>
    <t>OCJ 21.01.2022</t>
  </si>
  <si>
    <t>20220131</t>
  </si>
  <si>
    <t>100015626</t>
  </si>
  <si>
    <t>28.01.2022</t>
  </si>
  <si>
    <t>OCJ 28.01.2022</t>
  </si>
  <si>
    <t>100015627</t>
  </si>
  <si>
    <t>HOME AFFAIRS 28.01.2022</t>
  </si>
  <si>
    <t>100015628</t>
  </si>
  <si>
    <t>EGOV 28.01.2022</t>
  </si>
  <si>
    <t>100015629</t>
  </si>
  <si>
    <t>27.01.2022</t>
  </si>
  <si>
    <t>HEALTH 27.01.2022</t>
  </si>
  <si>
    <t>100015630</t>
  </si>
  <si>
    <t>PRESIDENCY 27.01.2022</t>
  </si>
  <si>
    <t>100015631</t>
  </si>
  <si>
    <t>NAT TREASURY 27.01.2022</t>
  </si>
  <si>
    <t>100015632</t>
  </si>
  <si>
    <t>HUMAN SETTL 28.01.2022</t>
  </si>
  <si>
    <t>100015633</t>
  </si>
  <si>
    <t>HOME AFFAIRS 27.01.2022</t>
  </si>
  <si>
    <t>100015634</t>
  </si>
  <si>
    <t>25.01.2022</t>
  </si>
  <si>
    <t>ECONOMIC DEV25.01.2022</t>
  </si>
  <si>
    <t>100015635</t>
  </si>
  <si>
    <t>24.01.2022</t>
  </si>
  <si>
    <t>OCJ 24.01.2022</t>
  </si>
  <si>
    <t>100015636</t>
  </si>
  <si>
    <t>MILITARY 24.01.2022</t>
  </si>
  <si>
    <t>100015637</t>
  </si>
  <si>
    <t>HIGHER EDUCATION 24.01.22</t>
  </si>
  <si>
    <t>100015638</t>
  </si>
  <si>
    <t>Y600000</t>
  </si>
  <si>
    <t>GOGTA 25.01.2022</t>
  </si>
  <si>
    <t>100015639</t>
  </si>
  <si>
    <t>PREMIER 28.01.2022</t>
  </si>
  <si>
    <t>100015640</t>
  </si>
  <si>
    <t>NAT TREASURY 28.01.2022</t>
  </si>
  <si>
    <t>31.01.2022</t>
  </si>
  <si>
    <t>100015683</t>
  </si>
  <si>
    <t>MINERAL 31.01.2022</t>
  </si>
  <si>
    <t>100015684</t>
  </si>
  <si>
    <t>NAT HEALTH31.01.2022</t>
  </si>
  <si>
    <t>100015685</t>
  </si>
  <si>
    <t>NAT SPORT 31.01.2022</t>
  </si>
  <si>
    <t>100015686</t>
  </si>
  <si>
    <t>HIGHER EDUCATION31.01.22</t>
  </si>
  <si>
    <t>100015687</t>
  </si>
  <si>
    <t>NPA 31.01.2022</t>
  </si>
  <si>
    <t>100015688</t>
  </si>
  <si>
    <t>SERVIC PROD 31.01.2022</t>
  </si>
  <si>
    <t>100015689</t>
  </si>
  <si>
    <t>EDUCATION 31.01.2022</t>
  </si>
  <si>
    <t>100015690</t>
  </si>
  <si>
    <t>SOCIAL DEV 31.01.2022</t>
  </si>
  <si>
    <t>100015691</t>
  </si>
  <si>
    <t>GPG SPORT 31.01.2022</t>
  </si>
  <si>
    <t>Account 12132955</t>
  </si>
  <si>
    <t>20220216</t>
  </si>
  <si>
    <t>100015744</t>
  </si>
  <si>
    <t>01.02.2022</t>
  </si>
  <si>
    <t>RRURAL DEV 01.02.2022</t>
  </si>
  <si>
    <t>100015746</t>
  </si>
  <si>
    <t>JUSTICE 01/02.2022</t>
  </si>
  <si>
    <t>100015747</t>
  </si>
  <si>
    <t>NPA 01.02.2022</t>
  </si>
  <si>
    <t>100015748</t>
  </si>
  <si>
    <t>SOCIAL DEV 01.02.2022</t>
  </si>
  <si>
    <t>100015749</t>
  </si>
  <si>
    <t>02.02.2022</t>
  </si>
  <si>
    <t>NPA 02.02.2022</t>
  </si>
  <si>
    <t>100015751</t>
  </si>
  <si>
    <t>O.C.J. 02.02.2022</t>
  </si>
  <si>
    <t>100015752</t>
  </si>
  <si>
    <t>100015755</t>
  </si>
  <si>
    <t>04.02.2022</t>
  </si>
  <si>
    <t>PUBLIC SERVICE 04.02.2022</t>
  </si>
  <si>
    <t>100015757</t>
  </si>
  <si>
    <t>07.02.2022</t>
  </si>
  <si>
    <t>RURAL DEV 07.02.2022</t>
  </si>
  <si>
    <t>20220217</t>
  </si>
  <si>
    <t>100015756</t>
  </si>
  <si>
    <t>COM SAFETY 04.02.2022</t>
  </si>
  <si>
    <t>100015759</t>
  </si>
  <si>
    <t>HOME AFF 07.02.2022</t>
  </si>
  <si>
    <t>100015760</t>
  </si>
  <si>
    <t>GPG AGR 07.02.2022</t>
  </si>
  <si>
    <t>100015761</t>
  </si>
  <si>
    <t>08.02.2022</t>
  </si>
  <si>
    <t>PUBLIC SERVICE 08.02.2022</t>
  </si>
  <si>
    <t>100015762</t>
  </si>
  <si>
    <t>11.02.2022</t>
  </si>
  <si>
    <t>GPG: ROADS 11.02.2022</t>
  </si>
  <si>
    <t>100015763</t>
  </si>
  <si>
    <t>DHET: 11.02.2022</t>
  </si>
  <si>
    <t>100015764</t>
  </si>
  <si>
    <t>100015766</t>
  </si>
  <si>
    <t>O.C.J. 11.02.2022</t>
  </si>
  <si>
    <t>100015768</t>
  </si>
  <si>
    <t>14.02.2022</t>
  </si>
  <si>
    <t>GPG: HUMAN SET 14.02.2022</t>
  </si>
  <si>
    <t>100015769</t>
  </si>
  <si>
    <t>O.C.J 14.02.2022</t>
  </si>
  <si>
    <t>100015770</t>
  </si>
  <si>
    <t>GPG:LEGISL 14.02.2022</t>
  </si>
  <si>
    <t>100015772</t>
  </si>
  <si>
    <t>15.02.2022</t>
  </si>
  <si>
    <t>O.C.J. 15.02.2022</t>
  </si>
  <si>
    <t>100015774</t>
  </si>
  <si>
    <t>PRESIDENTS OFF 15.02.2022</t>
  </si>
  <si>
    <t>100015775</t>
  </si>
  <si>
    <t>GPG:TREASURY 15.02.2022</t>
  </si>
  <si>
    <t>20220228</t>
  </si>
  <si>
    <t>100015839</t>
  </si>
  <si>
    <t>28.02.2022</t>
  </si>
  <si>
    <t>OCJ 28.02.2022</t>
  </si>
  <si>
    <t>100015840</t>
  </si>
  <si>
    <t>HEALTH 28.02.2022</t>
  </si>
  <si>
    <t>100015841</t>
  </si>
  <si>
    <t>LP OFFICE PREMI28.02.2022</t>
  </si>
  <si>
    <t>100015842</t>
  </si>
  <si>
    <t>22.02.2022</t>
  </si>
  <si>
    <t>HUMAN SETT 22.02.2022</t>
  </si>
  <si>
    <t>100015843</t>
  </si>
  <si>
    <t>NPA 22.02.2022</t>
  </si>
  <si>
    <t>100015847</t>
  </si>
  <si>
    <t>25.02.2022</t>
  </si>
  <si>
    <t>OCJ 25.02.2022</t>
  </si>
  <si>
    <t>100015848</t>
  </si>
  <si>
    <t>MINERAL 22.02.2022</t>
  </si>
  <si>
    <t>100015849</t>
  </si>
  <si>
    <t>OCJ 22.02.2022</t>
  </si>
  <si>
    <t>100015850</t>
  </si>
  <si>
    <t>23.02.2022</t>
  </si>
  <si>
    <t>EGOV 23.02.2022</t>
  </si>
  <si>
    <t>100015851</t>
  </si>
  <si>
    <t>NAT HEALTH  23.02.2022</t>
  </si>
  <si>
    <t>100015852</t>
  </si>
  <si>
    <t>MEDSAS  28.02.2022</t>
  </si>
  <si>
    <t>100015853</t>
  </si>
  <si>
    <t>24.02.2022</t>
  </si>
  <si>
    <t>OCJ  24.02.2022</t>
  </si>
  <si>
    <t>100015854</t>
  </si>
  <si>
    <t>GOV PRINTING  24.02.2022</t>
  </si>
  <si>
    <t>100015855</t>
  </si>
  <si>
    <t>MILITARY   24.02.2022</t>
  </si>
  <si>
    <t>100015856</t>
  </si>
  <si>
    <t>EGOV   25.02.2022</t>
  </si>
  <si>
    <t>100015858</t>
  </si>
  <si>
    <t>GPG: SOC 23.02.2022</t>
  </si>
  <si>
    <t>100015859</t>
  </si>
  <si>
    <t>SEC OF PAR 24.02.2022</t>
  </si>
  <si>
    <t>100015860</t>
  </si>
  <si>
    <t>GPG: EDU 28.02.2022</t>
  </si>
  <si>
    <t>100015862</t>
  </si>
  <si>
    <t>GPG: DID 25.02.2022</t>
  </si>
  <si>
    <t>100015863</t>
  </si>
  <si>
    <t>DIRCO 25.02.2022</t>
  </si>
  <si>
    <t>100015864</t>
  </si>
  <si>
    <t>GPG:PREMIER 28.02.2022</t>
  </si>
  <si>
    <t>100015865</t>
  </si>
  <si>
    <t>RURAL DEV 28.02.2022</t>
  </si>
  <si>
    <t>100015866</t>
  </si>
  <si>
    <t>SERV PRODUCT 28.02.2022</t>
  </si>
  <si>
    <t>100015867</t>
  </si>
  <si>
    <t>JUSTICE 28.02.2022</t>
  </si>
  <si>
    <t>100015868</t>
  </si>
  <si>
    <t>LP: WORKS 28.02.2022</t>
  </si>
  <si>
    <t>100015870</t>
  </si>
  <si>
    <t>GPG:SPORTS 08.02.2022</t>
  </si>
  <si>
    <t>100015892</t>
  </si>
  <si>
    <t>16.02.2022</t>
  </si>
  <si>
    <t>SCHOOL OF GOV 16.02.2022</t>
  </si>
  <si>
    <t>100015893</t>
  </si>
  <si>
    <t>O.C.J 16.02.2022</t>
  </si>
  <si>
    <t>100015895</t>
  </si>
  <si>
    <t>17.02.2022</t>
  </si>
  <si>
    <t>O.C.J.  17.02.2022</t>
  </si>
  <si>
    <t>100015898</t>
  </si>
  <si>
    <t>18.02.2022</t>
  </si>
  <si>
    <t>GPG: DRT 18.02.2022</t>
  </si>
  <si>
    <t>100015899</t>
  </si>
  <si>
    <t>HOME AFF 18.02.2022</t>
  </si>
  <si>
    <t>100015900</t>
  </si>
  <si>
    <t>GEPF 18.02.2022</t>
  </si>
  <si>
    <t>100015901</t>
  </si>
  <si>
    <t>GPG: ECONOMIC 18.02.2022</t>
  </si>
  <si>
    <t>100015902</t>
  </si>
  <si>
    <t>21.02.2022</t>
  </si>
  <si>
    <t>GPG: HUMAN GPG: HUMAN 21.02.2022</t>
  </si>
  <si>
    <t>100015903</t>
  </si>
  <si>
    <t>PUB SER COM 21.02.2022</t>
  </si>
  <si>
    <t>100015904</t>
  </si>
  <si>
    <t>NAT TREASURY 21.02.2022</t>
  </si>
  <si>
    <t>100015905</t>
  </si>
  <si>
    <t>O.C.J. 21.02.2022</t>
  </si>
  <si>
    <t>100015906</t>
  </si>
  <si>
    <t>GPG: TREASURY 21.02.2022</t>
  </si>
  <si>
    <t>100015907</t>
  </si>
  <si>
    <t>UMGUNGUNDLOVU 18.02.2022</t>
  </si>
  <si>
    <t>P500000</t>
  </si>
  <si>
    <t xml:space="preserve">C900000  NAT: PUBLIC PROTECTOR </t>
  </si>
  <si>
    <t>20220523</t>
  </si>
  <si>
    <t>100016659</t>
  </si>
  <si>
    <t>GP SPORT 20.05.2022</t>
  </si>
  <si>
    <t>100016660</t>
  </si>
  <si>
    <t>HUMAN SETT 20.05.2022</t>
  </si>
  <si>
    <t>100016661</t>
  </si>
  <si>
    <t>NAT TREASURY 19.05.2022</t>
  </si>
  <si>
    <t>100016662</t>
  </si>
  <si>
    <t>MEDSAS 15.05.2022</t>
  </si>
  <si>
    <t>100016663</t>
  </si>
  <si>
    <t>ECONOMIC DEV 13.05.2022</t>
  </si>
  <si>
    <t>100016664</t>
  </si>
  <si>
    <t>COMMUNICATION 11.05.2022</t>
  </si>
  <si>
    <t>100016665</t>
  </si>
  <si>
    <t>HEALTH 11.05.2022</t>
  </si>
  <si>
    <t>100016666</t>
  </si>
  <si>
    <t>GOGTA 11.05.2022</t>
  </si>
  <si>
    <t>100016667</t>
  </si>
  <si>
    <t>SOCIAL DEV 10.05.2022</t>
  </si>
  <si>
    <t>100016668</t>
  </si>
  <si>
    <t>MINERAL 10.05.2022</t>
  </si>
  <si>
    <t>100016669</t>
  </si>
  <si>
    <t>NPA 09.05.2022</t>
  </si>
  <si>
    <t>100016670</t>
  </si>
  <si>
    <t>COMM SAFETY 09.05.2022</t>
  </si>
  <si>
    <t>100016671</t>
  </si>
  <si>
    <t>ENERGY 06.05.2022</t>
  </si>
  <si>
    <t>100016672</t>
  </si>
  <si>
    <t>NPA 06.05.2022</t>
  </si>
  <si>
    <t>100016673</t>
  </si>
  <si>
    <t>NSG 05.05.2022</t>
  </si>
  <si>
    <t>100016674</t>
  </si>
  <si>
    <t>GPAA 05.05.2022</t>
  </si>
  <si>
    <t>100016675</t>
  </si>
  <si>
    <t>LEGISLATURE 03.05.2022</t>
  </si>
  <si>
    <t>100016676</t>
  </si>
  <si>
    <t>RURAL 17.05.2022</t>
  </si>
  <si>
    <t>100016677</t>
  </si>
  <si>
    <t>RURAL 16.05.2022</t>
  </si>
  <si>
    <t>100016678</t>
  </si>
  <si>
    <t>LP CO-OPER 13.05.2022</t>
  </si>
  <si>
    <t>100016679</t>
  </si>
  <si>
    <t>20220524</t>
  </si>
  <si>
    <t>100016731</t>
  </si>
  <si>
    <t>NAT PUBLIC 20.05.2022</t>
  </si>
  <si>
    <t>100016732</t>
  </si>
  <si>
    <t>HOME AFFAIRS 20.05.2022</t>
  </si>
  <si>
    <t>100016733</t>
  </si>
  <si>
    <t>OCJ 18.05.2022</t>
  </si>
  <si>
    <t>100016734</t>
  </si>
  <si>
    <t>OCJ 16.05.2022</t>
  </si>
  <si>
    <t>100016735</t>
  </si>
  <si>
    <t>NPA 13.05.2022</t>
  </si>
  <si>
    <t>100016736</t>
  </si>
  <si>
    <t>OCJ 09.05.2022</t>
  </si>
  <si>
    <t>100016737</t>
  </si>
  <si>
    <t>OCJ 03.5.2022</t>
  </si>
  <si>
    <t>20220526</t>
  </si>
  <si>
    <t>100016740</t>
  </si>
  <si>
    <t>OCJ 04.05.2022</t>
  </si>
  <si>
    <t>100016741</t>
  </si>
  <si>
    <t>OCJ 17.05.2022</t>
  </si>
  <si>
    <t>100016742</t>
  </si>
  <si>
    <t>OCJ 20.05.2022</t>
  </si>
  <si>
    <t>100016743</t>
  </si>
  <si>
    <t>NAT HEALTH 13.05.2022</t>
  </si>
  <si>
    <t>20220530</t>
  </si>
  <si>
    <t>100016753</t>
  </si>
  <si>
    <t>NAT ARTS 23.05.2022</t>
  </si>
  <si>
    <t>100016754</t>
  </si>
  <si>
    <t>ECONOMIC DEV 23.05.2022</t>
  </si>
  <si>
    <t>100016755</t>
  </si>
  <si>
    <t>CO OPER 23.05.2022</t>
  </si>
  <si>
    <t>100016756</t>
  </si>
  <si>
    <t>SOCIAL DEV 24.05.2022</t>
  </si>
  <si>
    <t>100016757</t>
  </si>
  <si>
    <t>PRESIDENCY 24.05.2022</t>
  </si>
  <si>
    <t>100016758</t>
  </si>
  <si>
    <t>AGRICULT 27.05.2022</t>
  </si>
  <si>
    <t>100016760</t>
  </si>
  <si>
    <t>COMM SAFETY 27.05.2022</t>
  </si>
  <si>
    <t>100016761</t>
  </si>
  <si>
    <t>DRT 25.05.2022</t>
  </si>
  <si>
    <t>20220531</t>
  </si>
  <si>
    <t>100016813</t>
  </si>
  <si>
    <t>GPG: SOCIAL 30/05/2022</t>
  </si>
  <si>
    <t>100016816</t>
  </si>
  <si>
    <t>SCHOOL OF GOV 30.05.2022</t>
  </si>
  <si>
    <t>100016824</t>
  </si>
  <si>
    <t>OCJ 27.05.2022</t>
  </si>
  <si>
    <t>100016831</t>
  </si>
  <si>
    <t>OCJ 23..05.2022</t>
  </si>
  <si>
    <t>100016833</t>
  </si>
  <si>
    <t>LP: PREMIER 31/05/2022</t>
  </si>
  <si>
    <t>100016834</t>
  </si>
  <si>
    <t>GOGTA 24.05.2022</t>
  </si>
  <si>
    <t>100016835</t>
  </si>
  <si>
    <t>GCIS 31/05/2022</t>
  </si>
  <si>
    <t>100016836</t>
  </si>
  <si>
    <t>NPA 24.05.2022</t>
  </si>
  <si>
    <t>100016837</t>
  </si>
  <si>
    <t>GOV PRINTER 31/05/2022</t>
  </si>
  <si>
    <t>100016838</t>
  </si>
  <si>
    <t>OCJ 24.05.2022</t>
  </si>
  <si>
    <t>100016839</t>
  </si>
  <si>
    <t>OCJ 26.05.2022</t>
  </si>
  <si>
    <t>100016840</t>
  </si>
  <si>
    <t>NPA 27.05.2022</t>
  </si>
  <si>
    <t>100016841</t>
  </si>
  <si>
    <t>LP PROVI TREAS31.05.2022</t>
  </si>
  <si>
    <t>100016843</t>
  </si>
  <si>
    <t>NPA 31.05.2022</t>
  </si>
  <si>
    <t>100016850</t>
  </si>
  <si>
    <t>SERV PROD 31/05/2022</t>
  </si>
  <si>
    <t>20.05.2022</t>
  </si>
  <si>
    <t>19.05.2022</t>
  </si>
  <si>
    <t>15.05.2022</t>
  </si>
  <si>
    <t>13.05.2022</t>
  </si>
  <si>
    <t>11.05.2022</t>
  </si>
  <si>
    <t>10.05.2022</t>
  </si>
  <si>
    <t>09.05.2022</t>
  </si>
  <si>
    <t>06.05.2022</t>
  </si>
  <si>
    <t>05.05.2022</t>
  </si>
  <si>
    <t>03.05.2022</t>
  </si>
  <si>
    <t>17.05.2022</t>
  </si>
  <si>
    <t>16.05.2022</t>
  </si>
  <si>
    <t>18.05.2022</t>
  </si>
  <si>
    <t>03.5.2022</t>
  </si>
  <si>
    <t>04.05.2022</t>
  </si>
  <si>
    <t>23.05.2022</t>
  </si>
  <si>
    <t>24.05.2022</t>
  </si>
  <si>
    <t>27.05.2022</t>
  </si>
  <si>
    <t>25.05.2022</t>
  </si>
  <si>
    <t>30.05.2022</t>
  </si>
  <si>
    <t>26.05.2022</t>
  </si>
  <si>
    <t>31.05.2022</t>
  </si>
  <si>
    <t>P500000 LIMPOPO PROVINCIAL TREASURY</t>
  </si>
  <si>
    <t>R5,1M has been rejected by the bank.</t>
  </si>
  <si>
    <t>R8,7M has been rejected by the bank.</t>
  </si>
  <si>
    <t>The client is  reconcilling the current invoice.</t>
  </si>
  <si>
    <t>R2M has been rejected by the bank.</t>
  </si>
  <si>
    <t>The client is disputing the charges</t>
  </si>
  <si>
    <t>No response I will do a follow up.</t>
  </si>
  <si>
    <t>Transport unit and legal were finalizing paperwork and some other issues and once done outstanding invoices will be settled .</t>
  </si>
  <si>
    <t>R1M is awaiting approval.</t>
  </si>
  <si>
    <t>R1,7M is awaiting approval.</t>
  </si>
  <si>
    <t>R997K has been rejected by the bank.</t>
  </si>
  <si>
    <t>R962K has been rejected by the bank.</t>
  </si>
  <si>
    <t>No response , we are meeting the client tomorrow.</t>
  </si>
  <si>
    <t>R219K has been rejected by the bank.</t>
  </si>
  <si>
    <t>R794k is awaiting run.</t>
  </si>
  <si>
    <t>R666k is awaiting run.</t>
  </si>
  <si>
    <t>R591k is awaiting run.</t>
  </si>
  <si>
    <t>R104k is awaiting approval.</t>
  </si>
  <si>
    <t>R276k is awaiting approval.</t>
  </si>
  <si>
    <t>The client is responding to our emails.</t>
  </si>
  <si>
    <t>R185k is awaiting approval.</t>
  </si>
  <si>
    <t>They are reconcilling all the outstanding invoice.</t>
  </si>
  <si>
    <t>R300k is awaiting run.</t>
  </si>
  <si>
    <t>R195k is awaiting run.</t>
  </si>
  <si>
    <t>R166k is awaiting approval.</t>
  </si>
  <si>
    <t>R141K has been rejected by the bank.</t>
  </si>
  <si>
    <t>Current invoice is awaiting run.</t>
  </si>
  <si>
    <t>R4,3M has been processed and it will reflect on the 30th on our bank account .</t>
  </si>
  <si>
    <t>R6,M has been processed and it will reflect on the 30th on our bank account .</t>
  </si>
  <si>
    <t>R5,8M has been sent to finance section processing.</t>
  </si>
  <si>
    <t>The client is paying on a daily basis.</t>
  </si>
  <si>
    <t>Fully paid.</t>
  </si>
  <si>
    <t>R 3 646.15 has been sent to finance section processing.</t>
  </si>
  <si>
    <t>R 12 805.60 has been sent to finance section processing.</t>
  </si>
  <si>
    <t>R11 534 has been sent to their finance section for processing.</t>
  </si>
  <si>
    <t>R2,5M has been rejected by the bank.</t>
  </si>
  <si>
    <t>REMARKS by the Debtors collection team</t>
  </si>
  <si>
    <t>DEBTORS WITH CREDIT BALANCES</t>
  </si>
  <si>
    <t>DISPUTED AMOUNTS</t>
  </si>
  <si>
    <t>NAT: S. A. DEFENCE FORCE</t>
  </si>
  <si>
    <t>Name of client department</t>
  </si>
  <si>
    <t>Outstanding balance as at 31 March 2022</t>
  </si>
  <si>
    <t>Total paid towards 31 March 2022 balance</t>
  </si>
  <si>
    <t>Outstanding balance from 31 March 2022 balalnce</t>
  </si>
  <si>
    <t>Total billed to date for 2022/23 Financial year</t>
  </si>
  <si>
    <t>Total paid for 2022/23 billing</t>
  </si>
  <si>
    <t>Total outstanding from 2022/23 billing</t>
  </si>
  <si>
    <t>Overall outstanding balance</t>
  </si>
  <si>
    <t>R'000</t>
  </si>
  <si>
    <t>Gauteng Department of Infrastructure &amp; Development</t>
  </si>
  <si>
    <t>National Department of Public Works</t>
  </si>
  <si>
    <t>National  Department of Social Development</t>
  </si>
  <si>
    <t>Department of Higher Education and Training (DHET))</t>
  </si>
  <si>
    <t>National department of Health</t>
  </si>
  <si>
    <t>Department of Justice and Constitutional Development</t>
  </si>
  <si>
    <t>Department of Basic Education  (DBE))</t>
  </si>
  <si>
    <t>Gauteng Department of Economic Development</t>
  </si>
  <si>
    <t>GPG:  Department of e-Government (GDF)</t>
  </si>
  <si>
    <t>Gauteng Legislature</t>
  </si>
  <si>
    <t>SANDF : Works Formations(PROJECT LEBAKA)</t>
  </si>
  <si>
    <t>Government Printing Works</t>
  </si>
  <si>
    <t xml:space="preserve"> Office of The Chief Justice</t>
  </si>
  <si>
    <t>Limpopo: Education</t>
  </si>
  <si>
    <t>Limpopo: Public works</t>
  </si>
  <si>
    <t>Limpopo: Public transport</t>
  </si>
  <si>
    <t>Office of The President</t>
  </si>
  <si>
    <t>Department of Energy (DE))</t>
  </si>
  <si>
    <t>Eastern Cape: Sport &amp; Recreation</t>
  </si>
  <si>
    <t>Limpopo Provincial Treasury</t>
  </si>
  <si>
    <t>Limpopo: Department of social development</t>
  </si>
  <si>
    <t>Limpopo: Dept of Economic Development ,Environmental &amp; Tourism</t>
  </si>
  <si>
    <t xml:space="preserve"> Secretary of the Parliament</t>
  </si>
  <si>
    <t>National department of arts and culture</t>
  </si>
  <si>
    <t>National department of Human settlement</t>
  </si>
  <si>
    <t>Department of Public enterprise</t>
  </si>
  <si>
    <t>Department of Telecommunication and Postal services</t>
  </si>
  <si>
    <t>WC: Prosecuting Authority of S.A</t>
  </si>
  <si>
    <t>Limpopo: Econ, Trade &amp; Industry</t>
  </si>
  <si>
    <t>Limpopo: Health and Welfare</t>
  </si>
  <si>
    <t>Detailed Debtors Report 26 October 2022</t>
  </si>
  <si>
    <t>Gauteng Department of Social Development</t>
  </si>
  <si>
    <t>Gauteng Department of Human Settlement</t>
  </si>
  <si>
    <t>Public Service Commission</t>
  </si>
  <si>
    <t>International  Relations &amp; Cooperation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</si>
</sst>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_ * #,##0.00_ ;_ * \-#,##0.00_ ;_ * &quot;-&quot;??_ ;_ @_ "/>
    <numFmt numFmtId="166" formatCode="0,000,000.00"/>
    <numFmt numFmtId="167" formatCode="00,000.00"/>
    <numFmt numFmtId="168" formatCode="000.00"/>
    <numFmt numFmtId="169" formatCode="00,000,000.00"/>
    <numFmt numFmtId="170" formatCode="000,000.00"/>
    <numFmt numFmtId="171" formatCode="0,000.00"/>
    <numFmt numFmtId="172" formatCode="000,000,000.00"/>
    <numFmt numFmtId="173" formatCode="&quot;R&quot;\ #,##0.00"/>
    <numFmt numFmtId="174" formatCode="_ &quot;R&quot;\ * #,##0.00_ ;_ &quot;R&quot;\ * \-#,##0.00_ ;_ &quot;R&quot;\ * &quot;-&quot;??_ ;_ @_ "/>
    <numFmt numFmtId="175" formatCode="_ * #,##0_ ;_ * \-#,##0_ ;_ * &quot;-&quot;??_ ;_ @_ "/>
  </numFmts>
  <fonts count="111" x14ac:knownFonts="1">
    <font>
      <sz val="11"/>
      <color theme="1"/>
      <name val="Calibri"/>
      <family val="2"/>
      <scheme val="minor"/>
    </font>
    <font>
      <sz val="11"/>
      <name val="Marlett"/>
      <charset val="2"/>
    </font>
    <font>
      <sz val="11"/>
      <color theme="1"/>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sz val="16"/>
      <color theme="1"/>
      <name val="Calibri"/>
      <family val="2"/>
      <scheme val="minor"/>
    </font>
    <font>
      <b/>
      <sz val="16"/>
      <color rgb="FF1F497D"/>
      <name val="Calibri"/>
      <family val="2"/>
      <scheme val="minor"/>
    </font>
    <font>
      <sz val="16"/>
      <color indexed="8"/>
      <name val="Calibri"/>
      <family val="2"/>
      <scheme val="minor"/>
    </font>
    <font>
      <sz val="16"/>
      <color rgb="FF1F497D"/>
      <name val="Calibri"/>
      <family val="2"/>
      <scheme val="minor"/>
    </font>
    <font>
      <b/>
      <sz val="16"/>
      <color indexed="8"/>
      <name val="Calibri"/>
      <family val="2"/>
      <scheme val="minor"/>
    </font>
    <font>
      <b/>
      <sz val="11"/>
      <color indexed="8"/>
      <name val="Calibri"/>
      <family val="2"/>
      <scheme val="minor"/>
    </font>
    <font>
      <sz val="11"/>
      <name val="Calibri"/>
      <family val="2"/>
      <scheme val="minor"/>
    </font>
    <font>
      <sz val="11"/>
      <color indexed="8"/>
      <name val="Calibri"/>
      <family val="2"/>
      <scheme val="minor"/>
    </font>
    <font>
      <sz val="11"/>
      <color rgb="FF1F497D"/>
      <name val="Calibri"/>
      <family val="2"/>
      <scheme val="minor"/>
    </font>
    <font>
      <sz val="11"/>
      <color theme="1"/>
      <name val="Marlett"/>
      <charset val="2"/>
    </font>
    <font>
      <b/>
      <sz val="11"/>
      <color theme="1"/>
      <name val="Marlett"/>
      <charset val="2"/>
    </font>
    <font>
      <b/>
      <sz val="26"/>
      <color theme="1"/>
      <name val="Calibri"/>
      <family val="2"/>
      <scheme val="minor"/>
    </font>
    <font>
      <b/>
      <sz val="18"/>
      <color theme="1"/>
      <name val="Calibri"/>
      <family val="2"/>
      <scheme val="minor"/>
    </font>
    <font>
      <sz val="18"/>
      <color theme="1"/>
      <name val="Calibri"/>
      <family val="2"/>
      <scheme val="minor"/>
    </font>
    <font>
      <sz val="18"/>
      <name val="Calibri"/>
      <family val="2"/>
      <scheme val="minor"/>
    </font>
    <font>
      <sz val="18"/>
      <color indexed="8"/>
      <name val="Calibri"/>
      <family val="2"/>
      <scheme val="minor"/>
    </font>
    <font>
      <sz val="18"/>
      <color rgb="FF1F497D"/>
      <name val="Calibri"/>
      <family val="2"/>
      <scheme val="minor"/>
    </font>
    <font>
      <b/>
      <sz val="18"/>
      <color indexed="8"/>
      <name val="Calibri"/>
      <family val="2"/>
      <scheme val="minor"/>
    </font>
    <font>
      <sz val="18"/>
      <color theme="1"/>
      <name val="Calibri"/>
      <family val="2"/>
    </font>
    <font>
      <b/>
      <sz val="18"/>
      <color theme="1"/>
      <name val="Calibri"/>
      <family val="2"/>
    </font>
    <font>
      <sz val="10"/>
      <color indexed="8"/>
      <name val="Arial"/>
      <family val="2"/>
    </font>
    <font>
      <b/>
      <sz val="10"/>
      <color indexed="8"/>
      <name val="Arial"/>
      <family val="2"/>
    </font>
    <font>
      <sz val="12"/>
      <color indexed="8"/>
      <name val="Calibri"/>
      <family val="2"/>
      <scheme val="minor"/>
    </font>
    <font>
      <b/>
      <sz val="12"/>
      <color indexed="8"/>
      <name val="Calibri"/>
      <family val="2"/>
      <scheme val="minor"/>
    </font>
    <font>
      <sz val="12"/>
      <color theme="1"/>
      <name val="Calibri"/>
      <family val="2"/>
      <scheme val="minor"/>
    </font>
    <font>
      <sz val="18"/>
      <color indexed="8"/>
      <name val="Arial"/>
      <family val="2"/>
    </font>
    <font>
      <b/>
      <u/>
      <sz val="18"/>
      <color indexed="8"/>
      <name val="Calibri"/>
      <family val="2"/>
      <scheme val="minor"/>
    </font>
    <font>
      <sz val="12"/>
      <color rgb="FFFF0000"/>
      <name val="Calibri"/>
      <family val="2"/>
      <scheme val="minor"/>
    </font>
    <font>
      <sz val="18"/>
      <color theme="1"/>
      <name val="Arial"/>
      <family val="2"/>
    </font>
    <font>
      <b/>
      <sz val="12"/>
      <color rgb="FFFF0000"/>
      <name val="Calibri"/>
      <family val="2"/>
      <scheme val="minor"/>
    </font>
    <font>
      <sz val="16"/>
      <name val="Calibri"/>
      <family val="2"/>
      <scheme val="minor"/>
    </font>
    <font>
      <sz val="16"/>
      <color indexed="8"/>
      <name val="Arial"/>
      <family val="2"/>
    </font>
    <font>
      <b/>
      <sz val="12"/>
      <color indexed="18"/>
      <name val="Calibri"/>
      <family val="2"/>
      <scheme val="minor"/>
    </font>
    <font>
      <sz val="12"/>
      <color indexed="23"/>
      <name val="Calibri"/>
      <family val="2"/>
      <scheme val="minor"/>
    </font>
    <font>
      <b/>
      <u/>
      <sz val="12"/>
      <color indexed="8"/>
      <name val="Calibri"/>
      <family val="2"/>
      <scheme val="minor"/>
    </font>
    <font>
      <b/>
      <sz val="12"/>
      <color theme="1"/>
      <name val="Calibri"/>
      <family val="2"/>
      <scheme val="minor"/>
    </font>
    <font>
      <sz val="16"/>
      <color theme="1"/>
      <name val="Calibri"/>
      <family val="2"/>
    </font>
    <font>
      <sz val="20"/>
      <color theme="1"/>
      <name val="Calibri"/>
      <family val="2"/>
      <scheme val="minor"/>
    </font>
    <font>
      <b/>
      <sz val="20"/>
      <color theme="1"/>
      <name val="Calibri"/>
      <family val="2"/>
      <scheme val="minor"/>
    </font>
    <font>
      <sz val="20"/>
      <color indexed="8"/>
      <name val="Calibri"/>
      <family val="2"/>
      <scheme val="minor"/>
    </font>
    <font>
      <sz val="20"/>
      <name val="Calibri"/>
      <family val="2"/>
      <scheme val="minor"/>
    </font>
    <font>
      <sz val="20"/>
      <color indexed="8"/>
      <name val="Arial"/>
      <family val="2"/>
    </font>
    <font>
      <sz val="20"/>
      <color theme="1"/>
      <name val="Calibri"/>
      <family val="2"/>
    </font>
    <font>
      <sz val="26"/>
      <color theme="1"/>
      <name val="Calibri"/>
      <family val="2"/>
      <scheme val="minor"/>
    </font>
    <font>
      <sz val="26"/>
      <color indexed="8"/>
      <name val="Calibri"/>
      <family val="2"/>
      <scheme val="minor"/>
    </font>
    <font>
      <sz val="26"/>
      <name val="Calibri"/>
      <family val="2"/>
      <scheme val="minor"/>
    </font>
    <font>
      <sz val="26"/>
      <color theme="3" tint="0.39997558519241921"/>
      <name val="Calibri"/>
      <family val="2"/>
      <scheme val="minor"/>
    </font>
    <font>
      <sz val="26"/>
      <color indexed="8"/>
      <name val="Arial"/>
      <family val="2"/>
    </font>
    <font>
      <sz val="26"/>
      <color theme="1"/>
      <name val="Calibri"/>
      <family val="2"/>
    </font>
    <font>
      <b/>
      <sz val="14"/>
      <color theme="1"/>
      <name val="Calibri"/>
      <family val="2"/>
      <scheme val="minor"/>
    </font>
    <font>
      <sz val="14"/>
      <color theme="1"/>
      <name val="Calibri"/>
      <family val="2"/>
      <scheme val="minor"/>
    </font>
    <font>
      <sz val="14"/>
      <color theme="1"/>
      <name val="Calibri"/>
      <family val="2"/>
    </font>
    <font>
      <sz val="10"/>
      <color indexed="8"/>
      <name val="Arial"/>
      <family val="2"/>
    </font>
    <font>
      <b/>
      <sz val="14"/>
      <color theme="3"/>
      <name val="Calibri"/>
      <family val="2"/>
      <scheme val="minor"/>
    </font>
    <font>
      <sz val="14"/>
      <color theme="3"/>
      <name val="Calibri"/>
      <family val="2"/>
      <scheme val="minor"/>
    </font>
    <font>
      <sz val="14"/>
      <color theme="1"/>
      <name val="Arial"/>
      <family val="2"/>
    </font>
    <font>
      <sz val="11"/>
      <color theme="1"/>
      <name val="Calibri"/>
      <family val="2"/>
    </font>
    <font>
      <sz val="14"/>
      <color indexed="8"/>
      <name val="Calibri"/>
      <family val="2"/>
      <scheme val="minor"/>
    </font>
    <font>
      <b/>
      <sz val="8"/>
      <color indexed="8"/>
      <name val="Arial"/>
      <family val="2"/>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8"/>
      <name val="Arial"/>
      <family val="2"/>
    </font>
    <font>
      <sz val="10"/>
      <color indexed="8"/>
      <name val="Arial"/>
      <family val="2"/>
    </font>
    <font>
      <sz val="10"/>
      <name val="Arial"/>
      <family val="2"/>
    </font>
    <font>
      <sz val="8"/>
      <color rgb="FF000000"/>
      <name val="Arial"/>
      <family val="2"/>
    </font>
    <font>
      <b/>
      <sz val="8"/>
      <color rgb="FF000000"/>
      <name val="Arial"/>
      <family val="2"/>
    </font>
    <font>
      <b/>
      <sz val="10"/>
      <name val="Arial"/>
      <family val="2"/>
    </font>
    <font>
      <sz val="10"/>
      <color indexed="8"/>
      <name val="Arial"/>
      <family val="2"/>
    </font>
    <font>
      <b/>
      <sz val="14"/>
      <color indexed="8"/>
      <name val="Arial"/>
      <family val="2"/>
    </font>
    <font>
      <sz val="18"/>
      <color theme="3"/>
      <name val="Cambria"/>
      <family val="2"/>
      <scheme val="major"/>
    </font>
    <font>
      <sz val="11"/>
      <color rgb="FF9C5700"/>
      <name val="Calibri"/>
      <family val="2"/>
      <scheme val="minor"/>
    </font>
    <font>
      <sz val="14"/>
      <color rgb="FFFF0000"/>
      <name val="Calibri"/>
      <family val="2"/>
      <scheme val="minor"/>
    </font>
    <font>
      <sz val="14"/>
      <name val="Calibri"/>
      <family val="2"/>
      <scheme val="minor"/>
    </font>
    <font>
      <b/>
      <sz val="16"/>
      <color rgb="FF000000"/>
      <name val="Calibri"/>
      <family val="2"/>
      <scheme val="minor"/>
    </font>
    <font>
      <sz val="16"/>
      <color rgb="FF000000"/>
      <name val="Calibri"/>
      <family val="2"/>
      <scheme val="minor"/>
    </font>
    <font>
      <b/>
      <sz val="14"/>
      <color rgb="FF000008"/>
      <name val="Arial"/>
      <family val="2"/>
    </font>
    <font>
      <b/>
      <sz val="14"/>
      <color rgb="FF000000"/>
      <name val="Arial"/>
      <family val="2"/>
    </font>
    <font>
      <sz val="14"/>
      <color rgb="FF000000"/>
      <name val="Calibri"/>
      <family val="2"/>
      <scheme val="minor"/>
    </font>
    <font>
      <b/>
      <sz val="14"/>
      <color rgb="FF000000"/>
      <name val="Calibri"/>
      <family val="2"/>
      <scheme val="minor"/>
    </font>
    <font>
      <sz val="12"/>
      <name val="Calibri"/>
      <family val="2"/>
      <scheme val="minor"/>
    </font>
    <font>
      <sz val="11"/>
      <color rgb="FF000000"/>
      <name val="Arial"/>
      <family val="2"/>
    </font>
    <font>
      <b/>
      <sz val="14"/>
      <color rgb="FF000008"/>
      <name val="Calibri"/>
      <family val="2"/>
      <scheme val="minor"/>
    </font>
    <font>
      <sz val="10"/>
      <name val="Arial"/>
      <family val="2"/>
    </font>
    <font>
      <b/>
      <sz val="12"/>
      <name val="Calibri"/>
      <family val="2"/>
      <scheme val="minor"/>
    </font>
    <font>
      <sz val="10"/>
      <color rgb="FFFF0000"/>
      <name val="Arial"/>
      <family val="2"/>
    </font>
    <font>
      <i/>
      <sz val="11"/>
      <color theme="1"/>
      <name val="Calibri"/>
      <family val="2"/>
      <scheme val="minor"/>
    </font>
    <font>
      <sz val="11"/>
      <color rgb="FF000000"/>
      <name val="Calibri"/>
      <family val="2"/>
      <scheme val="minor"/>
    </font>
    <font>
      <b/>
      <sz val="11"/>
      <color rgb="FF000000"/>
      <name val="Calibri"/>
      <family val="2"/>
      <scheme val="minor"/>
    </font>
    <font>
      <b/>
      <i/>
      <sz val="11"/>
      <color rgb="FF000000"/>
      <name val="Calibri"/>
      <family val="2"/>
      <scheme val="minor"/>
    </font>
    <font>
      <b/>
      <i/>
      <sz val="11"/>
      <color theme="1"/>
      <name val="Calibri"/>
      <family val="2"/>
      <scheme val="minor"/>
    </font>
    <font>
      <b/>
      <u/>
      <sz val="11"/>
      <color theme="1"/>
      <name val="Calibri"/>
      <family val="2"/>
      <scheme val="minor"/>
    </font>
  </fonts>
  <fills count="4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rgb="FFDDDDDD"/>
        <bgColor indexed="64"/>
      </patternFill>
    </fill>
    <fill>
      <patternFill patternType="solid">
        <fgColor rgb="FFFFEE09"/>
        <bgColor indexed="64"/>
      </patternFill>
    </fill>
    <fill>
      <patternFill patternType="solid">
        <fgColor rgb="FFFFEE00"/>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double">
        <color indexed="64"/>
      </bottom>
      <diagonal/>
    </border>
  </borders>
  <cellStyleXfs count="122">
    <xf numFmtId="0" fontId="0" fillId="0" borderId="0"/>
    <xf numFmtId="165" fontId="2" fillId="0" borderId="0" applyFont="0" applyFill="0" applyBorder="0" applyAlignment="0" applyProtection="0"/>
    <xf numFmtId="0" fontId="26" fillId="0" borderId="0"/>
    <xf numFmtId="164" fontId="27" fillId="0" borderId="0" applyFont="0" applyFill="0" applyBorder="0" applyAlignment="0" applyProtection="0"/>
    <xf numFmtId="165" fontId="2" fillId="0" borderId="0" applyFont="0" applyFill="0" applyBorder="0" applyAlignment="0" applyProtection="0"/>
    <xf numFmtId="0" fontId="58" fillId="0" borderId="0"/>
    <xf numFmtId="0" fontId="26" fillId="0" borderId="0"/>
    <xf numFmtId="0" fontId="62" fillId="0" borderId="0"/>
    <xf numFmtId="165" fontId="62" fillId="0" borderId="0" applyFont="0" applyFill="0" applyBorder="0" applyAlignment="0" applyProtection="0"/>
    <xf numFmtId="0" fontId="2" fillId="0" borderId="0"/>
    <xf numFmtId="0" fontId="26" fillId="0" borderId="0"/>
    <xf numFmtId="0" fontId="26" fillId="0" borderId="0"/>
    <xf numFmtId="0" fontId="65" fillId="0" borderId="0"/>
    <xf numFmtId="0" fontId="66" fillId="0" borderId="0" applyNumberFormat="0" applyFill="0" applyBorder="0" applyAlignment="0" applyProtection="0"/>
    <xf numFmtId="0" fontId="67" fillId="0" borderId="32" applyNumberFormat="0" applyFill="0" applyAlignment="0" applyProtection="0"/>
    <xf numFmtId="0" fontId="68" fillId="0" borderId="33" applyNumberFormat="0" applyFill="0" applyAlignment="0" applyProtection="0"/>
    <xf numFmtId="0" fontId="69" fillId="0" borderId="34" applyNumberFormat="0" applyFill="0" applyAlignment="0" applyProtection="0"/>
    <xf numFmtId="0" fontId="69" fillId="0" borderId="0" applyNumberFormat="0" applyFill="0" applyBorder="0" applyAlignment="0" applyProtection="0"/>
    <xf numFmtId="0" fontId="70" fillId="8" borderId="0" applyNumberFormat="0" applyBorder="0" applyAlignment="0" applyProtection="0"/>
    <xf numFmtId="0" fontId="71" fillId="9" borderId="0" applyNumberFormat="0" applyBorder="0" applyAlignment="0" applyProtection="0"/>
    <xf numFmtId="0" fontId="72" fillId="10" borderId="0" applyNumberFormat="0" applyBorder="0" applyAlignment="0" applyProtection="0"/>
    <xf numFmtId="0" fontId="73" fillId="11" borderId="35" applyNumberFormat="0" applyAlignment="0" applyProtection="0"/>
    <xf numFmtId="0" fontId="74" fillId="12" borderId="36" applyNumberFormat="0" applyAlignment="0" applyProtection="0"/>
    <xf numFmtId="0" fontId="75" fillId="12" borderId="35" applyNumberFormat="0" applyAlignment="0" applyProtection="0"/>
    <xf numFmtId="0" fontId="76" fillId="0" borderId="37" applyNumberFormat="0" applyFill="0" applyAlignment="0" applyProtection="0"/>
    <xf numFmtId="0" fontId="77" fillId="13" borderId="38" applyNumberFormat="0" applyAlignment="0" applyProtection="0"/>
    <xf numFmtId="0" fontId="4" fillId="0" borderId="0" applyNumberFormat="0" applyFill="0" applyBorder="0" applyAlignment="0" applyProtection="0"/>
    <xf numFmtId="0" fontId="2" fillId="14" borderId="39" applyNumberFormat="0" applyFont="0" applyAlignment="0" applyProtection="0"/>
    <xf numFmtId="0" fontId="78" fillId="0" borderId="0" applyNumberFormat="0" applyFill="0" applyBorder="0" applyAlignment="0" applyProtection="0"/>
    <xf numFmtId="0" fontId="3" fillId="0" borderId="40" applyNumberFormat="0" applyFill="0" applyAlignment="0" applyProtection="0"/>
    <xf numFmtId="0" fontId="7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9" fillId="38" borderId="0" applyNumberFormat="0" applyBorder="0" applyAlignment="0" applyProtection="0"/>
    <xf numFmtId="0" fontId="80" fillId="0" borderId="0"/>
    <xf numFmtId="0" fontId="26" fillId="0" borderId="0"/>
    <xf numFmtId="0" fontId="80" fillId="0" borderId="0"/>
    <xf numFmtId="0" fontId="80" fillId="0" borderId="0"/>
    <xf numFmtId="0" fontId="2" fillId="0" borderId="0"/>
    <xf numFmtId="0" fontId="2" fillId="14" borderId="39"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80" fillId="0" borderId="0"/>
    <xf numFmtId="0" fontId="81" fillId="0" borderId="0"/>
    <xf numFmtId="0" fontId="62" fillId="0" borderId="0"/>
    <xf numFmtId="165" fontId="2" fillId="0" borderId="0" applyFont="0" applyFill="0" applyBorder="0" applyAlignment="0" applyProtection="0"/>
    <xf numFmtId="0" fontId="82" fillId="0" borderId="0"/>
    <xf numFmtId="0" fontId="83" fillId="0" borderId="0"/>
    <xf numFmtId="0" fontId="84" fillId="0" borderId="0"/>
    <xf numFmtId="0" fontId="84" fillId="0" borderId="0"/>
    <xf numFmtId="0" fontId="85" fillId="0" borderId="0"/>
    <xf numFmtId="165" fontId="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7" fillId="0" borderId="0"/>
    <xf numFmtId="0" fontId="80" fillId="0" borderId="0"/>
    <xf numFmtId="0" fontId="89" fillId="0" borderId="0" applyNumberFormat="0" applyFill="0" applyBorder="0" applyAlignment="0" applyProtection="0"/>
    <xf numFmtId="0" fontId="90"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0" fillId="0" borderId="0" applyFont="0" applyFill="0" applyBorder="0" applyAlignment="0" applyProtection="0"/>
    <xf numFmtId="165" fontId="2" fillId="0" borderId="0" applyFont="0" applyFill="0" applyBorder="0" applyAlignment="0" applyProtection="0"/>
    <xf numFmtId="0" fontId="26" fillId="0" borderId="0"/>
    <xf numFmtId="0" fontId="26" fillId="0" borderId="0"/>
    <xf numFmtId="0" fontId="26" fillId="0" borderId="0"/>
    <xf numFmtId="0" fontId="80" fillId="0" borderId="0"/>
    <xf numFmtId="43" fontId="2" fillId="0" borderId="0" applyFont="0" applyFill="0" applyBorder="0" applyAlignment="0" applyProtection="0"/>
    <xf numFmtId="43" fontId="2" fillId="0" borderId="0" applyFont="0" applyFill="0" applyBorder="0" applyAlignment="0" applyProtection="0"/>
    <xf numFmtId="0" fontId="2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2" fillId="0" borderId="0"/>
    <xf numFmtId="164" fontId="2" fillId="0" borderId="0" applyFont="0" applyFill="0" applyBorder="0" applyAlignment="0" applyProtection="0"/>
    <xf numFmtId="43" fontId="2" fillId="0" borderId="0" applyFont="0" applyFill="0" applyBorder="0" applyAlignment="0" applyProtection="0"/>
    <xf numFmtId="0" fontId="80" fillId="0" borderId="0"/>
  </cellStyleXfs>
  <cellXfs count="1040">
    <xf numFmtId="0" fontId="0" fillId="0" borderId="0" xfId="0"/>
    <xf numFmtId="0" fontId="3" fillId="0" borderId="0" xfId="0" applyFont="1"/>
    <xf numFmtId="165" fontId="2" fillId="0" borderId="0" xfId="1" applyFont="1"/>
    <xf numFmtId="165" fontId="2" fillId="2" borderId="0" xfId="1" applyFont="1" applyFill="1"/>
    <xf numFmtId="165" fontId="3" fillId="2" borderId="1" xfId="1" applyFont="1" applyFill="1" applyBorder="1"/>
    <xf numFmtId="165" fontId="3" fillId="0" borderId="2" xfId="1" applyFont="1" applyBorder="1"/>
    <xf numFmtId="0" fontId="3" fillId="0" borderId="1" xfId="0" applyFont="1" applyBorder="1" applyAlignment="1">
      <alignment vertical="top" wrapText="1"/>
    </xf>
    <xf numFmtId="165" fontId="3" fillId="2" borderId="1" xfId="1" quotePrefix="1" applyFont="1" applyFill="1" applyBorder="1" applyAlignment="1">
      <alignment horizontal="right" vertical="top" wrapText="1"/>
    </xf>
    <xf numFmtId="0" fontId="0" fillId="0" borderId="0" xfId="0" applyFont="1"/>
    <xf numFmtId="0" fontId="3" fillId="0" borderId="3" xfId="0" applyFont="1" applyBorder="1" applyAlignment="1">
      <alignment vertical="top" wrapText="1"/>
    </xf>
    <xf numFmtId="165" fontId="3" fillId="2" borderId="4" xfId="1" quotePrefix="1" applyFont="1" applyFill="1" applyBorder="1" applyAlignment="1">
      <alignment horizontal="right" vertical="top" wrapText="1"/>
    </xf>
    <xf numFmtId="165" fontId="3" fillId="2" borderId="2" xfId="1" quotePrefix="1" applyFont="1" applyFill="1" applyBorder="1" applyAlignment="1">
      <alignment horizontal="right" vertical="top" wrapText="1"/>
    </xf>
    <xf numFmtId="0" fontId="5" fillId="0" borderId="0" xfId="0" applyFont="1"/>
    <xf numFmtId="0" fontId="6" fillId="0" borderId="0" xfId="0" applyFont="1"/>
    <xf numFmtId="15" fontId="7" fillId="0" borderId="5" xfId="0" applyNumberFormat="1" applyFont="1" applyBorder="1" applyAlignment="1">
      <alignment horizontal="left" vertical="top" wrapText="1"/>
    </xf>
    <xf numFmtId="165" fontId="5" fillId="0" borderId="0" xfId="1" applyFont="1"/>
    <xf numFmtId="165" fontId="5" fillId="2" borderId="0" xfId="1" applyFont="1" applyFill="1"/>
    <xf numFmtId="0" fontId="5" fillId="0" borderId="6" xfId="0" applyFont="1" applyBorder="1" applyAlignment="1">
      <alignment vertical="top" wrapText="1"/>
    </xf>
    <xf numFmtId="165" fontId="5" fillId="0" borderId="6" xfId="1" applyFont="1" applyBorder="1" applyAlignment="1">
      <alignment vertical="top" wrapText="1"/>
    </xf>
    <xf numFmtId="165" fontId="5" fillId="2" borderId="6" xfId="1" applyFont="1" applyFill="1" applyBorder="1" applyAlignment="1">
      <alignment vertical="top" wrapText="1"/>
    </xf>
    <xf numFmtId="165" fontId="6" fillId="0" borderId="5" xfId="1" quotePrefix="1" applyFont="1" applyBorder="1" applyAlignment="1">
      <alignment horizontal="right" vertical="top" wrapText="1"/>
    </xf>
    <xf numFmtId="165" fontId="6" fillId="2" borderId="5" xfId="1" quotePrefix="1" applyFont="1" applyFill="1" applyBorder="1" applyAlignment="1">
      <alignment horizontal="right" vertical="top" wrapText="1"/>
    </xf>
    <xf numFmtId="0" fontId="8" fillId="0" borderId="5" xfId="0" applyFont="1" applyBorder="1" applyAlignment="1" applyProtection="1">
      <alignment horizontal="left" vertical="top"/>
      <protection locked="0"/>
    </xf>
    <xf numFmtId="165" fontId="9" fillId="0" borderId="5" xfId="1" applyFont="1" applyBorder="1" applyAlignment="1">
      <alignment vertical="top" wrapText="1"/>
    </xf>
    <xf numFmtId="165" fontId="6" fillId="2" borderId="7" xfId="1" applyFont="1" applyFill="1" applyBorder="1" applyAlignment="1">
      <alignment vertical="top" wrapText="1"/>
    </xf>
    <xf numFmtId="0" fontId="8" fillId="0" borderId="8" xfId="0" applyFont="1" applyBorder="1" applyAlignment="1" applyProtection="1">
      <alignment horizontal="left" vertical="top"/>
      <protection locked="0"/>
    </xf>
    <xf numFmtId="164" fontId="8" fillId="0" borderId="5" xfId="1" applyNumberFormat="1" applyFont="1" applyBorder="1"/>
    <xf numFmtId="165" fontId="6" fillId="0" borderId="5" xfId="1" applyFont="1" applyBorder="1"/>
    <xf numFmtId="165" fontId="6" fillId="2" borderId="5" xfId="1" applyFont="1" applyFill="1" applyBorder="1"/>
    <xf numFmtId="164" fontId="8" fillId="2" borderId="5" xfId="1" applyNumberFormat="1" applyFont="1" applyFill="1" applyBorder="1"/>
    <xf numFmtId="165" fontId="6" fillId="2" borderId="8" xfId="1" applyFont="1" applyFill="1" applyBorder="1"/>
    <xf numFmtId="0" fontId="8" fillId="0" borderId="9" xfId="0" applyFont="1" applyBorder="1" applyAlignment="1" applyProtection="1">
      <alignment horizontal="left" vertical="top"/>
      <protection locked="0"/>
    </xf>
    <xf numFmtId="164" fontId="8" fillId="0" borderId="9" xfId="1" applyNumberFormat="1" applyFont="1" applyBorder="1"/>
    <xf numFmtId="165" fontId="6" fillId="0" borderId="9" xfId="1" applyFont="1" applyBorder="1"/>
    <xf numFmtId="165" fontId="6" fillId="2" borderId="10" xfId="1" applyFont="1" applyFill="1" applyBorder="1"/>
    <xf numFmtId="0" fontId="10" fillId="0" borderId="11" xfId="0" applyFont="1" applyBorder="1"/>
    <xf numFmtId="164" fontId="10" fillId="0" borderId="1" xfId="1" applyNumberFormat="1" applyFont="1" applyBorder="1"/>
    <xf numFmtId="165" fontId="5" fillId="0" borderId="1" xfId="1" applyFont="1" applyBorder="1"/>
    <xf numFmtId="165" fontId="5" fillId="2" borderId="1" xfId="1" applyFont="1" applyFill="1" applyBorder="1"/>
    <xf numFmtId="164" fontId="5" fillId="0" borderId="0" xfId="0" applyNumberFormat="1" applyFont="1"/>
    <xf numFmtId="0" fontId="5" fillId="0" borderId="3" xfId="0" applyFont="1" applyBorder="1" applyAlignment="1">
      <alignment vertical="top" wrapText="1"/>
    </xf>
    <xf numFmtId="15" fontId="6" fillId="0" borderId="0" xfId="0" quotePrefix="1" applyNumberFormat="1" applyFont="1" applyAlignment="1">
      <alignment horizontal="left"/>
    </xf>
    <xf numFmtId="0" fontId="11" fillId="0" borderId="12" xfId="0" applyFont="1" applyBorder="1"/>
    <xf numFmtId="165" fontId="3" fillId="2" borderId="13" xfId="1" applyFont="1" applyFill="1" applyBorder="1"/>
    <xf numFmtId="165" fontId="3" fillId="2" borderId="4" xfId="1" applyFont="1" applyFill="1" applyBorder="1"/>
    <xf numFmtId="165" fontId="3" fillId="2" borderId="2" xfId="1" applyFont="1" applyFill="1" applyBorder="1"/>
    <xf numFmtId="165" fontId="2" fillId="0" borderId="0" xfId="1" applyFont="1" applyFill="1"/>
    <xf numFmtId="165" fontId="3" fillId="0" borderId="2" xfId="1" applyFont="1" applyFill="1" applyBorder="1"/>
    <xf numFmtId="0" fontId="0" fillId="2" borderId="0" xfId="0" applyFont="1" applyFill="1"/>
    <xf numFmtId="15" fontId="3" fillId="2" borderId="2" xfId="0" applyNumberFormat="1" applyFont="1" applyFill="1" applyBorder="1" applyAlignment="1">
      <alignment vertical="top" wrapText="1"/>
    </xf>
    <xf numFmtId="164" fontId="11" fillId="2" borderId="13" xfId="1" applyNumberFormat="1" applyFont="1" applyFill="1" applyBorder="1"/>
    <xf numFmtId="165" fontId="3" fillId="2" borderId="14" xfId="1" applyFont="1" applyFill="1" applyBorder="1"/>
    <xf numFmtId="165" fontId="3" fillId="2" borderId="0" xfId="1" applyFont="1" applyFill="1"/>
    <xf numFmtId="0" fontId="8" fillId="0" borderId="0" xfId="0" applyFont="1" applyBorder="1" applyAlignment="1" applyProtection="1">
      <alignment horizontal="left" vertical="top"/>
      <protection locked="0"/>
    </xf>
    <xf numFmtId="164" fontId="8" fillId="0" borderId="0" xfId="1" applyNumberFormat="1" applyFont="1" applyBorder="1"/>
    <xf numFmtId="165" fontId="6" fillId="0" borderId="0" xfId="1" applyFont="1" applyBorder="1"/>
    <xf numFmtId="165" fontId="6" fillId="2" borderId="0" xfId="1" applyFont="1" applyFill="1" applyBorder="1"/>
    <xf numFmtId="165" fontId="3" fillId="0" borderId="6" xfId="1" applyFont="1" applyBorder="1" applyAlignment="1">
      <alignment horizontal="right" vertical="top" wrapText="1"/>
    </xf>
    <xf numFmtId="0" fontId="3" fillId="2" borderId="6" xfId="0" applyFont="1" applyFill="1" applyBorder="1" applyAlignment="1">
      <alignment horizontal="right" vertical="top" wrapText="1"/>
    </xf>
    <xf numFmtId="165" fontId="3" fillId="2" borderId="6" xfId="1" applyFont="1" applyFill="1" applyBorder="1" applyAlignment="1">
      <alignment horizontal="right" vertical="top" wrapText="1"/>
    </xf>
    <xf numFmtId="15" fontId="3" fillId="0" borderId="0" xfId="0" applyNumberFormat="1" applyFont="1" applyAlignment="1">
      <alignment horizontal="left"/>
    </xf>
    <xf numFmtId="165" fontId="2" fillId="2" borderId="0" xfId="1" applyFont="1" applyFill="1"/>
    <xf numFmtId="0" fontId="12" fillId="0" borderId="7" xfId="0" applyFont="1" applyFill="1" applyBorder="1" applyAlignment="1" applyProtection="1">
      <alignment horizontal="left" vertical="top"/>
      <protection locked="0"/>
    </xf>
    <xf numFmtId="164" fontId="12" fillId="0" borderId="7" xfId="1" applyNumberFormat="1" applyFont="1" applyFill="1" applyBorder="1"/>
    <xf numFmtId="165" fontId="12" fillId="0" borderId="7" xfId="1" applyFont="1" applyFill="1" applyBorder="1" applyAlignment="1">
      <alignment vertical="top" wrapText="1"/>
    </xf>
    <xf numFmtId="0" fontId="12" fillId="0" borderId="0" xfId="0" applyFont="1" applyFill="1"/>
    <xf numFmtId="0" fontId="13" fillId="0" borderId="5" xfId="0" applyFont="1" applyFill="1" applyBorder="1" applyAlignment="1" applyProtection="1">
      <alignment horizontal="left" vertical="top"/>
      <protection locked="0"/>
    </xf>
    <xf numFmtId="164" fontId="13" fillId="0" borderId="5" xfId="1" applyNumberFormat="1" applyFont="1" applyFill="1" applyBorder="1"/>
    <xf numFmtId="165" fontId="14" fillId="0" borderId="5" xfId="1" applyFont="1" applyFill="1" applyBorder="1" applyAlignment="1">
      <alignment vertical="top" wrapText="1"/>
    </xf>
    <xf numFmtId="165" fontId="2" fillId="0" borderId="5" xfId="1" applyFont="1" applyFill="1" applyBorder="1" applyAlignment="1">
      <alignment vertical="top" wrapText="1"/>
    </xf>
    <xf numFmtId="165" fontId="2" fillId="0" borderId="5" xfId="1" applyFont="1" applyFill="1" applyBorder="1"/>
    <xf numFmtId="165" fontId="2" fillId="0" borderId="7" xfId="1" applyFont="1" applyFill="1" applyBorder="1" applyAlignment="1">
      <alignment vertical="top" wrapText="1"/>
    </xf>
    <xf numFmtId="0" fontId="0" fillId="0" borderId="0" xfId="0" applyFill="1"/>
    <xf numFmtId="165" fontId="2" fillId="0" borderId="7" xfId="1" applyFont="1" applyFill="1" applyBorder="1"/>
    <xf numFmtId="165" fontId="2" fillId="0" borderId="8" xfId="1" applyFont="1" applyFill="1" applyBorder="1"/>
    <xf numFmtId="0" fontId="0" fillId="0" borderId="0" xfId="0" applyFont="1" applyFill="1"/>
    <xf numFmtId="0" fontId="3" fillId="0" borderId="0" xfId="0" applyFont="1" applyFill="1"/>
    <xf numFmtId="165" fontId="4" fillId="0" borderId="7" xfId="1" applyFont="1" applyFill="1" applyBorder="1" applyAlignment="1">
      <alignment vertical="top" wrapText="1"/>
    </xf>
    <xf numFmtId="165" fontId="2" fillId="0" borderId="15" xfId="1" applyFont="1" applyFill="1" applyBorder="1"/>
    <xf numFmtId="0" fontId="13" fillId="0" borderId="9" xfId="0" applyFont="1" applyFill="1" applyBorder="1" applyAlignment="1" applyProtection="1">
      <alignment horizontal="left" vertical="top"/>
      <protection locked="0"/>
    </xf>
    <xf numFmtId="165" fontId="2" fillId="0" borderId="9" xfId="1" applyFont="1" applyFill="1" applyBorder="1"/>
    <xf numFmtId="0" fontId="13" fillId="0" borderId="8" xfId="0" applyFont="1" applyFill="1" applyBorder="1" applyAlignment="1" applyProtection="1">
      <alignment horizontal="left" vertical="top"/>
      <protection locked="0"/>
    </xf>
    <xf numFmtId="165" fontId="3" fillId="0" borderId="7" xfId="1" applyFont="1" applyFill="1" applyBorder="1"/>
    <xf numFmtId="164" fontId="13" fillId="0" borderId="9" xfId="1" applyNumberFormat="1" applyFont="1" applyFill="1" applyBorder="1"/>
    <xf numFmtId="165" fontId="2" fillId="0" borderId="16" xfId="1" applyFont="1" applyFill="1" applyBorder="1"/>
    <xf numFmtId="0" fontId="15" fillId="0" borderId="0" xfId="0" applyFont="1"/>
    <xf numFmtId="0" fontId="15" fillId="0" borderId="0" xfId="0" applyFont="1" applyBorder="1"/>
    <xf numFmtId="165" fontId="1" fillId="0" borderId="0" xfId="0" applyNumberFormat="1" applyFont="1" applyFill="1"/>
    <xf numFmtId="165" fontId="15" fillId="0" borderId="0" xfId="0" applyNumberFormat="1" applyFont="1" applyFill="1"/>
    <xf numFmtId="165" fontId="16" fillId="0" borderId="0" xfId="0" applyNumberFormat="1" applyFont="1" applyFill="1"/>
    <xf numFmtId="165" fontId="0" fillId="0" borderId="0" xfId="0" applyNumberFormat="1" applyFill="1"/>
    <xf numFmtId="0" fontId="19" fillId="0" borderId="0" xfId="0" applyFont="1"/>
    <xf numFmtId="0" fontId="0" fillId="0" borderId="0" xfId="0" applyBorder="1"/>
    <xf numFmtId="164" fontId="0" fillId="0" borderId="0" xfId="0" applyNumberFormat="1" applyBorder="1"/>
    <xf numFmtId="165" fontId="18" fillId="0" borderId="0" xfId="1" applyFont="1" applyAlignment="1">
      <alignment horizontal="left"/>
    </xf>
    <xf numFmtId="165" fontId="18" fillId="0" borderId="6" xfId="1" applyFont="1" applyBorder="1" applyAlignment="1">
      <alignment vertical="top" wrapText="1"/>
    </xf>
    <xf numFmtId="165" fontId="20" fillId="0" borderId="5" xfId="1" applyFont="1" applyFill="1" applyBorder="1" applyAlignment="1" applyProtection="1">
      <alignment horizontal="left" vertical="top"/>
      <protection locked="0"/>
    </xf>
    <xf numFmtId="165" fontId="21" fillId="0" borderId="5" xfId="1" applyFont="1" applyFill="1" applyBorder="1" applyAlignment="1" applyProtection="1">
      <alignment horizontal="left" vertical="top"/>
      <protection locked="0"/>
    </xf>
    <xf numFmtId="165" fontId="21" fillId="0" borderId="9" xfId="1" applyFont="1" applyFill="1" applyBorder="1" applyAlignment="1" applyProtection="1">
      <alignment horizontal="left" vertical="top"/>
      <protection locked="0"/>
    </xf>
    <xf numFmtId="165" fontId="19" fillId="0" borderId="0" xfId="1" applyFont="1"/>
    <xf numFmtId="165" fontId="18" fillId="0" borderId="0" xfId="1" applyFont="1"/>
    <xf numFmtId="165" fontId="31" fillId="0" borderId="5" xfId="1" applyFont="1" applyBorder="1" applyAlignment="1" applyProtection="1">
      <alignment horizontal="right" vertical="top"/>
      <protection locked="0"/>
    </xf>
    <xf numFmtId="165" fontId="21" fillId="2" borderId="5" xfId="1" applyFont="1" applyFill="1" applyBorder="1" applyAlignment="1" applyProtection="1">
      <alignment horizontal="left" vertical="top"/>
      <protection locked="0"/>
    </xf>
    <xf numFmtId="170" fontId="31" fillId="0" borderId="5" xfId="0" applyNumberFormat="1" applyFont="1" applyBorder="1" applyAlignment="1" applyProtection="1">
      <alignment horizontal="right" vertical="top"/>
      <protection locked="0"/>
    </xf>
    <xf numFmtId="166" fontId="31" fillId="0" borderId="5" xfId="0" applyNumberFormat="1" applyFont="1" applyBorder="1" applyAlignment="1" applyProtection="1">
      <alignment horizontal="right" vertical="top"/>
      <protection locked="0"/>
    </xf>
    <xf numFmtId="167" fontId="31" fillId="0" borderId="5" xfId="0" applyNumberFormat="1" applyFont="1" applyBorder="1" applyAlignment="1" applyProtection="1">
      <alignment horizontal="right" vertical="top"/>
      <protection locked="0"/>
    </xf>
    <xf numFmtId="165" fontId="19" fillId="2" borderId="0" xfId="1" applyFont="1" applyFill="1" applyBorder="1"/>
    <xf numFmtId="0" fontId="23" fillId="0" borderId="17" xfId="0" applyFont="1" applyBorder="1"/>
    <xf numFmtId="165" fontId="23" fillId="0" borderId="17" xfId="1" applyFont="1" applyBorder="1"/>
    <xf numFmtId="0" fontId="31" fillId="0" borderId="5" xfId="0" applyFont="1" applyBorder="1" applyAlignment="1" applyProtection="1">
      <alignment horizontal="left" vertical="top"/>
      <protection locked="0"/>
    </xf>
    <xf numFmtId="165" fontId="31" fillId="2" borderId="5" xfId="1" applyFont="1" applyFill="1" applyBorder="1" applyAlignment="1" applyProtection="1">
      <alignment horizontal="right" vertical="top"/>
      <protection locked="0"/>
    </xf>
    <xf numFmtId="17" fontId="18" fillId="2" borderId="18" xfId="1" quotePrefix="1" applyNumberFormat="1" applyFont="1" applyFill="1" applyBorder="1" applyAlignment="1">
      <alignment horizontal="right" vertical="top" wrapText="1"/>
    </xf>
    <xf numFmtId="165" fontId="19" fillId="2" borderId="8" xfId="1" applyFont="1" applyFill="1" applyBorder="1"/>
    <xf numFmtId="4" fontId="19" fillId="2" borderId="10" xfId="0" applyNumberFormat="1" applyFont="1" applyFill="1" applyBorder="1"/>
    <xf numFmtId="165" fontId="18" fillId="2" borderId="17" xfId="1" applyFont="1" applyFill="1" applyBorder="1"/>
    <xf numFmtId="165" fontId="18" fillId="0" borderId="17" xfId="1" applyFont="1" applyFill="1" applyBorder="1"/>
    <xf numFmtId="165" fontId="25" fillId="0" borderId="17" xfId="1" applyFont="1" applyFill="1" applyBorder="1"/>
    <xf numFmtId="0" fontId="31" fillId="0" borderId="19" xfId="0" applyFont="1" applyBorder="1" applyAlignment="1" applyProtection="1">
      <alignment horizontal="left" vertical="top"/>
      <protection locked="0"/>
    </xf>
    <xf numFmtId="2" fontId="31" fillId="0" borderId="19" xfId="0" applyNumberFormat="1" applyFont="1" applyBorder="1" applyAlignment="1" applyProtection="1">
      <alignment horizontal="right" vertical="top"/>
      <protection locked="0"/>
    </xf>
    <xf numFmtId="165" fontId="31" fillId="0" borderId="19" xfId="1" applyFont="1" applyBorder="1" applyAlignment="1" applyProtection="1">
      <alignment horizontal="right" vertical="top"/>
      <protection locked="0"/>
    </xf>
    <xf numFmtId="165" fontId="19" fillId="2" borderId="19" xfId="1" applyFont="1" applyFill="1" applyBorder="1"/>
    <xf numFmtId="165" fontId="19" fillId="0" borderId="19" xfId="1" applyFont="1" applyFill="1" applyBorder="1"/>
    <xf numFmtId="165" fontId="24" fillId="0" borderId="19" xfId="1" applyFont="1" applyFill="1" applyBorder="1"/>
    <xf numFmtId="170" fontId="31" fillId="0" borderId="5" xfId="0" applyNumberFormat="1" applyFont="1" applyFill="1" applyBorder="1" applyAlignment="1" applyProtection="1">
      <alignment horizontal="right" vertical="top"/>
      <protection locked="0"/>
    </xf>
    <xf numFmtId="0" fontId="18" fillId="0" borderId="3" xfId="0" applyFont="1" applyBorder="1"/>
    <xf numFmtId="164" fontId="19" fillId="0" borderId="5" xfId="0" applyNumberFormat="1" applyFont="1" applyBorder="1"/>
    <xf numFmtId="164" fontId="18" fillId="0" borderId="1" xfId="0" applyNumberFormat="1" applyFont="1" applyBorder="1"/>
    <xf numFmtId="0" fontId="28" fillId="0" borderId="5" xfId="2" applyFont="1" applyBorder="1" applyAlignment="1" applyProtection="1">
      <alignment horizontal="left" vertical="top"/>
      <protection locked="0"/>
    </xf>
    <xf numFmtId="164" fontId="28" fillId="0" borderId="5" xfId="3" applyFont="1" applyBorder="1" applyAlignment="1" applyProtection="1">
      <alignment horizontal="right" vertical="top"/>
      <protection locked="0"/>
    </xf>
    <xf numFmtId="164" fontId="28" fillId="0" borderId="5" xfId="3" applyFont="1" applyBorder="1"/>
    <xf numFmtId="0" fontId="29" fillId="0" borderId="11" xfId="2" applyFont="1" applyBorder="1" applyAlignment="1" applyProtection="1">
      <alignment horizontal="left" vertical="top"/>
      <protection locked="0"/>
    </xf>
    <xf numFmtId="164" fontId="29" fillId="0" borderId="1" xfId="3" applyFont="1" applyBorder="1"/>
    <xf numFmtId="164" fontId="29" fillId="0" borderId="2" xfId="3" applyFont="1" applyBorder="1"/>
    <xf numFmtId="164" fontId="0" fillId="0" borderId="0" xfId="0" applyNumberFormat="1"/>
    <xf numFmtId="0" fontId="31" fillId="0" borderId="0" xfId="2" applyFont="1" applyBorder="1"/>
    <xf numFmtId="164" fontId="21" fillId="0" borderId="5" xfId="3" applyFont="1" applyBorder="1" applyAlignment="1" applyProtection="1">
      <alignment horizontal="right" vertical="top"/>
      <protection locked="0"/>
    </xf>
    <xf numFmtId="0" fontId="19" fillId="0" borderId="0" xfId="0" applyFont="1" applyBorder="1"/>
    <xf numFmtId="0" fontId="28" fillId="4" borderId="5" xfId="2" applyFont="1" applyFill="1" applyBorder="1" applyAlignment="1" applyProtection="1">
      <alignment horizontal="left" vertical="top"/>
      <protection locked="0"/>
    </xf>
    <xf numFmtId="164" fontId="28" fillId="4" borderId="5" xfId="3" applyFont="1" applyFill="1" applyBorder="1" applyAlignment="1" applyProtection="1">
      <alignment horizontal="right" vertical="top"/>
      <protection locked="0"/>
    </xf>
    <xf numFmtId="164" fontId="28" fillId="4" borderId="5" xfId="3" applyFont="1" applyFill="1" applyBorder="1"/>
    <xf numFmtId="164" fontId="32" fillId="0" borderId="0" xfId="3" applyFont="1" applyBorder="1" applyAlignment="1" applyProtection="1">
      <alignment horizontal="right" vertical="top"/>
      <protection locked="0"/>
    </xf>
    <xf numFmtId="164" fontId="21" fillId="0" borderId="0" xfId="3" applyFont="1" applyBorder="1" applyAlignment="1" applyProtection="1">
      <alignment horizontal="right" vertical="top"/>
      <protection locked="0"/>
    </xf>
    <xf numFmtId="164" fontId="23" fillId="0" borderId="0" xfId="3" applyFont="1" applyBorder="1"/>
    <xf numFmtId="164" fontId="19" fillId="0" borderId="0" xfId="0" applyNumberFormat="1" applyFont="1" applyBorder="1"/>
    <xf numFmtId="0" fontId="33" fillId="0" borderId="5" xfId="2" applyFont="1" applyBorder="1" applyAlignment="1" applyProtection="1">
      <alignment horizontal="left" vertical="top"/>
      <protection locked="0"/>
    </xf>
    <xf numFmtId="164" fontId="33" fillId="0" borderId="5" xfId="3" applyFont="1" applyBorder="1" applyAlignment="1" applyProtection="1">
      <alignment horizontal="right" vertical="top"/>
      <protection locked="0"/>
    </xf>
    <xf numFmtId="164" fontId="33" fillId="0" borderId="5" xfId="3" applyFont="1" applyBorder="1"/>
    <xf numFmtId="0" fontId="33" fillId="2" borderId="5" xfId="2" applyFont="1" applyFill="1" applyBorder="1" applyAlignment="1" applyProtection="1">
      <alignment horizontal="left" vertical="top"/>
      <protection locked="0"/>
    </xf>
    <xf numFmtId="164" fontId="33" fillId="2" borderId="5" xfId="3" applyFont="1" applyFill="1" applyBorder="1" applyAlignment="1" applyProtection="1">
      <alignment horizontal="right" vertical="top"/>
      <protection locked="0"/>
    </xf>
    <xf numFmtId="164" fontId="33" fillId="2" borderId="5" xfId="3" applyFont="1" applyFill="1" applyBorder="1"/>
    <xf numFmtId="165" fontId="21" fillId="0" borderId="0" xfId="1" applyFont="1" applyBorder="1" applyAlignment="1" applyProtection="1">
      <alignment horizontal="left" vertical="top"/>
      <protection locked="0"/>
    </xf>
    <xf numFmtId="165" fontId="32" fillId="0" borderId="0" xfId="1" applyFont="1" applyBorder="1" applyAlignment="1" applyProtection="1">
      <alignment horizontal="left" vertical="top"/>
      <protection locked="0"/>
    </xf>
    <xf numFmtId="165" fontId="21" fillId="0" borderId="5" xfId="1" applyFont="1" applyBorder="1" applyAlignment="1" applyProtection="1">
      <alignment horizontal="right" vertical="top"/>
      <protection locked="0"/>
    </xf>
    <xf numFmtId="165" fontId="23" fillId="0" borderId="0" xfId="1" applyFont="1" applyBorder="1" applyAlignment="1" applyProtection="1">
      <alignment horizontal="left" vertical="top"/>
      <protection locked="0"/>
    </xf>
    <xf numFmtId="165" fontId="19" fillId="0" borderId="0" xfId="1" applyFont="1" applyBorder="1"/>
    <xf numFmtId="165" fontId="21" fillId="0" borderId="0" xfId="1" applyFont="1" applyBorder="1"/>
    <xf numFmtId="0" fontId="29" fillId="0" borderId="5" xfId="2" applyFont="1" applyBorder="1" applyAlignment="1" applyProtection="1">
      <alignment horizontal="left" vertical="top"/>
      <protection locked="0"/>
    </xf>
    <xf numFmtId="164" fontId="29" fillId="0" borderId="5" xfId="3" applyFont="1" applyBorder="1" applyAlignment="1" applyProtection="1">
      <alignment horizontal="right" vertical="top"/>
      <protection locked="0"/>
    </xf>
    <xf numFmtId="164" fontId="29" fillId="0" borderId="5" xfId="3" applyFont="1" applyBorder="1"/>
    <xf numFmtId="164" fontId="21" fillId="2" borderId="5" xfId="3" applyFont="1" applyFill="1" applyBorder="1" applyAlignment="1" applyProtection="1">
      <alignment horizontal="right" vertical="top"/>
      <protection locked="0"/>
    </xf>
    <xf numFmtId="164" fontId="19" fillId="0" borderId="5" xfId="3" applyFont="1" applyBorder="1" applyAlignment="1" applyProtection="1">
      <alignment horizontal="right" vertical="top"/>
      <protection locked="0"/>
    </xf>
    <xf numFmtId="0" fontId="33" fillId="0" borderId="9" xfId="2" applyFont="1" applyBorder="1" applyAlignment="1" applyProtection="1">
      <alignment horizontal="left" vertical="top"/>
      <protection locked="0"/>
    </xf>
    <xf numFmtId="164" fontId="33" fillId="0" borderId="9" xfId="3" applyFont="1" applyBorder="1"/>
    <xf numFmtId="164" fontId="33" fillId="0" borderId="9" xfId="3" applyFont="1" applyBorder="1" applyAlignment="1" applyProtection="1">
      <alignment horizontal="right" vertical="top"/>
      <protection locked="0"/>
    </xf>
    <xf numFmtId="167" fontId="34" fillId="2" borderId="5" xfId="0" applyNumberFormat="1" applyFont="1" applyFill="1" applyBorder="1" applyAlignment="1" applyProtection="1">
      <alignment horizontal="right" vertical="top"/>
      <protection locked="0"/>
    </xf>
    <xf numFmtId="165" fontId="19" fillId="2" borderId="5" xfId="1" applyFont="1" applyFill="1" applyBorder="1" applyAlignment="1" applyProtection="1">
      <alignment horizontal="left" vertical="top"/>
      <protection locked="0"/>
    </xf>
    <xf numFmtId="165" fontId="24" fillId="2" borderId="5" xfId="1" applyFont="1" applyFill="1" applyBorder="1"/>
    <xf numFmtId="164" fontId="19" fillId="2" borderId="5" xfId="0" applyNumberFormat="1" applyFont="1" applyFill="1" applyBorder="1"/>
    <xf numFmtId="165" fontId="19" fillId="2" borderId="0" xfId="1" applyFont="1" applyFill="1" applyBorder="1" applyAlignment="1" applyProtection="1">
      <alignment horizontal="left" vertical="top"/>
      <protection locked="0"/>
    </xf>
    <xf numFmtId="164" fontId="19" fillId="2" borderId="0" xfId="3" applyFont="1" applyFill="1" applyBorder="1" applyAlignment="1" applyProtection="1">
      <alignment horizontal="right" vertical="top"/>
      <protection locked="0"/>
    </xf>
    <xf numFmtId="0" fontId="21" fillId="0" borderId="5" xfId="2" applyFont="1" applyBorder="1" applyAlignment="1" applyProtection="1">
      <alignment horizontal="left" vertical="top"/>
      <protection locked="0"/>
    </xf>
    <xf numFmtId="0" fontId="0" fillId="0" borderId="0" xfId="0" applyFont="1" applyBorder="1"/>
    <xf numFmtId="164" fontId="19" fillId="2" borderId="0" xfId="0" applyNumberFormat="1" applyFont="1" applyFill="1"/>
    <xf numFmtId="0" fontId="21" fillId="2" borderId="5" xfId="2" applyFont="1" applyFill="1" applyBorder="1" applyAlignment="1" applyProtection="1">
      <alignment horizontal="left" vertical="top"/>
      <protection locked="0"/>
    </xf>
    <xf numFmtId="0" fontId="35" fillId="2" borderId="5" xfId="2" applyFont="1" applyFill="1" applyBorder="1" applyAlignment="1" applyProtection="1">
      <alignment horizontal="left" vertical="top"/>
      <protection locked="0"/>
    </xf>
    <xf numFmtId="164" fontId="35" fillId="2" borderId="5" xfId="3" applyFont="1" applyFill="1" applyBorder="1" applyAlignment="1" applyProtection="1">
      <alignment horizontal="right" vertical="top"/>
      <protection locked="0"/>
    </xf>
    <xf numFmtId="164" fontId="35" fillId="2" borderId="5" xfId="3" applyFont="1" applyFill="1" applyBorder="1"/>
    <xf numFmtId="0" fontId="35" fillId="0" borderId="5" xfId="2" applyFont="1" applyBorder="1" applyAlignment="1" applyProtection="1">
      <alignment horizontal="left" vertical="top"/>
      <protection locked="0"/>
    </xf>
    <xf numFmtId="164" fontId="35" fillId="0" borderId="5" xfId="3" applyFont="1" applyBorder="1" applyAlignment="1" applyProtection="1">
      <alignment horizontal="right" vertical="top"/>
      <protection locked="0"/>
    </xf>
    <xf numFmtId="164" fontId="35" fillId="0" borderId="5" xfId="3" applyFont="1" applyBorder="1"/>
    <xf numFmtId="165" fontId="18" fillId="2" borderId="0" xfId="1" applyFont="1" applyFill="1" applyBorder="1"/>
    <xf numFmtId="165" fontId="24" fillId="2" borderId="0" xfId="1" applyFont="1" applyFill="1" applyBorder="1"/>
    <xf numFmtId="0" fontId="0" fillId="0" borderId="0" xfId="0" applyFont="1"/>
    <xf numFmtId="0" fontId="19" fillId="0" borderId="0" xfId="0" applyFont="1"/>
    <xf numFmtId="15" fontId="18" fillId="0" borderId="0" xfId="0" applyNumberFormat="1" applyFont="1" applyAlignment="1">
      <alignment horizontal="left"/>
    </xf>
    <xf numFmtId="165" fontId="19" fillId="2" borderId="0" xfId="1" applyFont="1" applyFill="1"/>
    <xf numFmtId="0" fontId="18" fillId="0" borderId="3" xfId="0" applyFont="1" applyBorder="1" applyAlignment="1">
      <alignment vertical="top" wrapText="1"/>
    </xf>
    <xf numFmtId="165" fontId="18" fillId="2" borderId="6" xfId="1" applyFont="1" applyFill="1" applyBorder="1" applyAlignment="1">
      <alignment horizontal="right" vertical="top" wrapText="1"/>
    </xf>
    <xf numFmtId="165" fontId="20" fillId="2" borderId="7" xfId="1" applyFont="1" applyFill="1" applyBorder="1" applyAlignment="1">
      <alignment vertical="top" wrapText="1"/>
    </xf>
    <xf numFmtId="165" fontId="20" fillId="0" borderId="7" xfId="1" applyFont="1" applyFill="1" applyBorder="1" applyAlignment="1">
      <alignment vertical="top" wrapText="1"/>
    </xf>
    <xf numFmtId="0" fontId="21" fillId="0" borderId="5" xfId="0" applyFont="1" applyFill="1" applyBorder="1" applyAlignment="1" applyProtection="1">
      <alignment horizontal="left" vertical="top"/>
      <protection locked="0"/>
    </xf>
    <xf numFmtId="165" fontId="22" fillId="0" borderId="5" xfId="1" applyFont="1" applyFill="1" applyBorder="1" applyAlignment="1">
      <alignment vertical="top" wrapText="1"/>
    </xf>
    <xf numFmtId="165" fontId="19" fillId="0" borderId="5" xfId="1" applyFont="1" applyFill="1" applyBorder="1"/>
    <xf numFmtId="0" fontId="21" fillId="0" borderId="9" xfId="0" applyFont="1" applyFill="1" applyBorder="1" applyAlignment="1" applyProtection="1">
      <alignment horizontal="left" vertical="top"/>
      <protection locked="0"/>
    </xf>
    <xf numFmtId="165" fontId="19" fillId="0" borderId="9" xfId="1" applyFont="1" applyFill="1" applyBorder="1"/>
    <xf numFmtId="165" fontId="18" fillId="2" borderId="1" xfId="1" applyFont="1" applyFill="1" applyBorder="1"/>
    <xf numFmtId="0" fontId="18" fillId="0" borderId="0" xfId="0" applyFont="1"/>
    <xf numFmtId="165" fontId="18" fillId="2" borderId="0" xfId="1" applyFont="1" applyFill="1"/>
    <xf numFmtId="0" fontId="24" fillId="0" borderId="0" xfId="0" applyFont="1" applyFill="1"/>
    <xf numFmtId="165" fontId="25" fillId="0" borderId="6" xfId="1" applyFont="1" applyFill="1" applyBorder="1" applyAlignment="1">
      <alignment horizontal="right" vertical="top" wrapText="1"/>
    </xf>
    <xf numFmtId="165" fontId="24" fillId="0" borderId="0" xfId="1" applyFont="1" applyFill="1"/>
    <xf numFmtId="165" fontId="25" fillId="0" borderId="0" xfId="1" applyFont="1" applyFill="1"/>
    <xf numFmtId="165" fontId="19" fillId="0" borderId="5" xfId="1" applyFont="1" applyBorder="1" applyAlignment="1">
      <alignment horizontal="right"/>
    </xf>
    <xf numFmtId="17" fontId="18" fillId="2" borderId="6" xfId="1" quotePrefix="1" applyNumberFormat="1" applyFont="1" applyFill="1" applyBorder="1" applyAlignment="1">
      <alignment horizontal="right" vertical="top" wrapText="1"/>
    </xf>
    <xf numFmtId="165" fontId="18" fillId="2" borderId="6" xfId="1" quotePrefix="1" applyFont="1" applyFill="1" applyBorder="1" applyAlignment="1">
      <alignment horizontal="right" vertical="top" wrapText="1"/>
    </xf>
    <xf numFmtId="17" fontId="25" fillId="0" borderId="6" xfId="1" quotePrefix="1" applyNumberFormat="1" applyFont="1" applyFill="1" applyBorder="1" applyAlignment="1">
      <alignment horizontal="right" vertical="top" wrapText="1"/>
    </xf>
    <xf numFmtId="0" fontId="20" fillId="0" borderId="5" xfId="0" applyFont="1" applyFill="1" applyBorder="1" applyAlignment="1" applyProtection="1">
      <alignment horizontal="left" vertical="top"/>
      <protection locked="0"/>
    </xf>
    <xf numFmtId="165" fontId="20" fillId="2" borderId="5" xfId="1" applyFont="1" applyFill="1" applyBorder="1" applyAlignment="1">
      <alignment vertical="top" wrapText="1"/>
    </xf>
    <xf numFmtId="165" fontId="20" fillId="0" borderId="5" xfId="1" applyFont="1" applyFill="1" applyBorder="1" applyAlignment="1">
      <alignment vertical="top" wrapText="1"/>
    </xf>
    <xf numFmtId="165" fontId="24" fillId="0" borderId="5" xfId="1" applyFont="1" applyFill="1" applyBorder="1"/>
    <xf numFmtId="4" fontId="19" fillId="0" borderId="5" xfId="0" applyNumberFormat="1" applyFont="1" applyBorder="1"/>
    <xf numFmtId="165" fontId="24" fillId="0" borderId="5" xfId="1" applyFont="1" applyFill="1" applyBorder="1" applyAlignment="1">
      <alignment vertical="top" wrapText="1"/>
    </xf>
    <xf numFmtId="165" fontId="24" fillId="0" borderId="9" xfId="1" applyFont="1" applyFill="1" applyBorder="1"/>
    <xf numFmtId="165" fontId="19" fillId="0" borderId="5" xfId="1" applyFont="1" applyBorder="1"/>
    <xf numFmtId="165" fontId="19" fillId="0" borderId="9" xfId="1" applyFont="1" applyBorder="1"/>
    <xf numFmtId="165" fontId="19" fillId="0" borderId="9" xfId="1" applyFont="1" applyBorder="1" applyAlignment="1">
      <alignment horizontal="right"/>
    </xf>
    <xf numFmtId="4" fontId="19" fillId="0" borderId="9" xfId="0" applyNumberFormat="1" applyFont="1" applyBorder="1"/>
    <xf numFmtId="4" fontId="19" fillId="2" borderId="5" xfId="0" applyNumberFormat="1" applyFont="1" applyFill="1" applyBorder="1"/>
    <xf numFmtId="165" fontId="19" fillId="2" borderId="5" xfId="1" applyFont="1" applyFill="1" applyBorder="1"/>
    <xf numFmtId="4" fontId="19" fillId="2" borderId="9" xfId="0" applyNumberFormat="1" applyFont="1" applyFill="1" applyBorder="1"/>
    <xf numFmtId="165" fontId="19" fillId="2" borderId="9" xfId="1" applyFont="1" applyFill="1" applyBorder="1"/>
    <xf numFmtId="0" fontId="19" fillId="2" borderId="0" xfId="0" applyFont="1" applyFill="1"/>
    <xf numFmtId="165" fontId="25" fillId="2" borderId="6" xfId="1" applyFont="1" applyFill="1" applyBorder="1" applyAlignment="1">
      <alignment horizontal="right" vertical="top" wrapText="1"/>
    </xf>
    <xf numFmtId="165" fontId="22" fillId="2" borderId="5" xfId="1" applyFont="1" applyFill="1" applyBorder="1" applyAlignment="1">
      <alignment vertical="top" wrapText="1"/>
    </xf>
    <xf numFmtId="4" fontId="19" fillId="0" borderId="5" xfId="0" applyNumberFormat="1" applyFont="1" applyFill="1" applyBorder="1"/>
    <xf numFmtId="0" fontId="19" fillId="0" borderId="0" xfId="0" applyFont="1" applyFill="1"/>
    <xf numFmtId="165" fontId="19" fillId="0" borderId="0" xfId="1" applyFont="1" applyFill="1"/>
    <xf numFmtId="165" fontId="18" fillId="0" borderId="6" xfId="1" applyFont="1" applyFill="1" applyBorder="1" applyAlignment="1">
      <alignment horizontal="right" vertical="top" wrapText="1"/>
    </xf>
    <xf numFmtId="165" fontId="18" fillId="0" borderId="6" xfId="1" quotePrefix="1" applyFont="1" applyFill="1" applyBorder="1" applyAlignment="1">
      <alignment horizontal="right" vertical="top" wrapText="1"/>
    </xf>
    <xf numFmtId="165" fontId="18" fillId="0" borderId="0" xfId="1" applyFont="1" applyFill="1"/>
    <xf numFmtId="4" fontId="19" fillId="2" borderId="8" xfId="0" applyNumberFormat="1" applyFont="1" applyFill="1" applyBorder="1"/>
    <xf numFmtId="0" fontId="19" fillId="2" borderId="0" xfId="0" applyFont="1" applyFill="1" applyBorder="1"/>
    <xf numFmtId="165" fontId="19" fillId="2" borderId="15" xfId="1" applyFont="1" applyFill="1" applyBorder="1"/>
    <xf numFmtId="164" fontId="21" fillId="0" borderId="5" xfId="3" applyFont="1" applyBorder="1"/>
    <xf numFmtId="4" fontId="19" fillId="0" borderId="0" xfId="0" applyNumberFormat="1" applyFont="1"/>
    <xf numFmtId="4" fontId="19" fillId="2" borderId="0" xfId="0" applyNumberFormat="1" applyFont="1" applyFill="1"/>
    <xf numFmtId="15" fontId="5" fillId="0" borderId="1" xfId="0" applyNumberFormat="1" applyFont="1" applyBorder="1" applyAlignment="1">
      <alignment horizontal="left"/>
    </xf>
    <xf numFmtId="0" fontId="8" fillId="0" borderId="8" xfId="0" applyFont="1" applyFill="1" applyBorder="1" applyAlignment="1" applyProtection="1">
      <alignment horizontal="left" vertical="top"/>
      <protection locked="0"/>
    </xf>
    <xf numFmtId="164" fontId="6" fillId="0" borderId="5" xfId="0" applyNumberFormat="1" applyFont="1" applyBorder="1"/>
    <xf numFmtId="0" fontId="8" fillId="0" borderId="10" xfId="0" applyFont="1" applyFill="1" applyBorder="1" applyAlignment="1" applyProtection="1">
      <alignment horizontal="left" vertical="top"/>
      <protection locked="0"/>
    </xf>
    <xf numFmtId="0" fontId="37" fillId="0" borderId="8" xfId="0" applyFont="1" applyBorder="1" applyAlignment="1" applyProtection="1">
      <alignment horizontal="left" vertical="top"/>
      <protection locked="0"/>
    </xf>
    <xf numFmtId="0" fontId="8" fillId="0" borderId="10" xfId="2" applyFont="1" applyBorder="1" applyAlignment="1" applyProtection="1">
      <alignment horizontal="left" vertical="top"/>
      <protection locked="0"/>
    </xf>
    <xf numFmtId="164" fontId="6" fillId="0" borderId="9" xfId="0" applyNumberFormat="1" applyFont="1" applyBorder="1"/>
    <xf numFmtId="0" fontId="8" fillId="0" borderId="9" xfId="0" applyFont="1" applyFill="1" applyBorder="1" applyAlignment="1" applyProtection="1">
      <alignment horizontal="left" vertical="top"/>
      <protection locked="0"/>
    </xf>
    <xf numFmtId="0" fontId="5" fillId="2" borderId="1" xfId="0" applyFont="1" applyFill="1" applyBorder="1" applyAlignment="1">
      <alignment vertical="top" wrapText="1"/>
    </xf>
    <xf numFmtId="0" fontId="36" fillId="2" borderId="8" xfId="0" applyFont="1" applyFill="1" applyBorder="1" applyAlignment="1" applyProtection="1">
      <alignment horizontal="left" vertical="top"/>
      <protection locked="0"/>
    </xf>
    <xf numFmtId="164" fontId="6" fillId="0" borderId="0" xfId="0" applyNumberFormat="1" applyFont="1"/>
    <xf numFmtId="165" fontId="6" fillId="0" borderId="0" xfId="0" applyNumberFormat="1" applyFont="1"/>
    <xf numFmtId="0" fontId="30" fillId="2" borderId="5" xfId="0" applyFont="1" applyFill="1" applyBorder="1"/>
    <xf numFmtId="0" fontId="28" fillId="2" borderId="0" xfId="0" applyFont="1" applyFill="1"/>
    <xf numFmtId="0" fontId="38" fillId="2" borderId="0" xfId="0" applyFont="1" applyFill="1" applyAlignment="1" applyProtection="1">
      <alignment horizontal="left" vertical="top"/>
      <protection locked="0"/>
    </xf>
    <xf numFmtId="0" fontId="28" fillId="2" borderId="0" xfId="0" applyFont="1" applyFill="1" applyAlignment="1" applyProtection="1">
      <alignment horizontal="left" vertical="top"/>
      <protection locked="0"/>
    </xf>
    <xf numFmtId="0" fontId="29" fillId="2" borderId="0" xfId="0" applyFont="1" applyFill="1" applyAlignment="1" applyProtection="1">
      <alignment horizontal="left" vertical="top"/>
      <protection locked="0"/>
    </xf>
    <xf numFmtId="0" fontId="29" fillId="2" borderId="0" xfId="0" applyFont="1" applyFill="1" applyAlignment="1" applyProtection="1">
      <alignment horizontal="right" vertical="top"/>
      <protection locked="0"/>
    </xf>
    <xf numFmtId="0" fontId="39" fillId="2" borderId="0" xfId="0" applyFont="1" applyFill="1" applyAlignment="1" applyProtection="1">
      <alignment horizontal="left" vertical="top"/>
      <protection locked="0"/>
    </xf>
    <xf numFmtId="0" fontId="39" fillId="2" borderId="0" xfId="0" applyFont="1" applyFill="1" applyAlignment="1" applyProtection="1">
      <alignment horizontal="right" vertical="top"/>
      <protection locked="0"/>
    </xf>
    <xf numFmtId="0" fontId="40" fillId="2" borderId="5" xfId="0" applyFont="1" applyFill="1" applyBorder="1" applyAlignment="1" applyProtection="1">
      <alignment horizontal="left" vertical="top"/>
      <protection locked="0"/>
    </xf>
    <xf numFmtId="0" fontId="40" fillId="2" borderId="5" xfId="0" applyFont="1" applyFill="1" applyBorder="1" applyAlignment="1" applyProtection="1">
      <alignment horizontal="right" vertical="top"/>
      <protection locked="0"/>
    </xf>
    <xf numFmtId="0" fontId="28" fillId="2" borderId="5" xfId="0" applyFont="1" applyFill="1" applyBorder="1" applyAlignment="1" applyProtection="1">
      <alignment horizontal="left" vertical="top"/>
      <protection locked="0"/>
    </xf>
    <xf numFmtId="167" fontId="28" fillId="2" borderId="5" xfId="0" applyNumberFormat="1" applyFont="1" applyFill="1" applyBorder="1" applyAlignment="1" applyProtection="1">
      <alignment horizontal="right" vertical="top"/>
      <protection locked="0"/>
    </xf>
    <xf numFmtId="0" fontId="28" fillId="2" borderId="5" xfId="0" applyFont="1" applyFill="1" applyBorder="1"/>
    <xf numFmtId="168" fontId="28" fillId="2" borderId="5" xfId="0" applyNumberFormat="1" applyFont="1" applyFill="1" applyBorder="1" applyAlignment="1" applyProtection="1">
      <alignment horizontal="right" vertical="top"/>
      <protection locked="0"/>
    </xf>
    <xf numFmtId="169" fontId="28" fillId="2" borderId="5" xfId="0" applyNumberFormat="1" applyFont="1" applyFill="1" applyBorder="1" applyAlignment="1" applyProtection="1">
      <alignment horizontal="right" vertical="top"/>
      <protection locked="0"/>
    </xf>
    <xf numFmtId="166" fontId="28" fillId="2" borderId="5" xfId="0" applyNumberFormat="1" applyFont="1" applyFill="1" applyBorder="1" applyAlignment="1" applyProtection="1">
      <alignment horizontal="right" vertical="top"/>
      <protection locked="0"/>
    </xf>
    <xf numFmtId="170" fontId="28" fillId="2" borderId="5" xfId="0" applyNumberFormat="1" applyFont="1" applyFill="1" applyBorder="1" applyAlignment="1" applyProtection="1">
      <alignment horizontal="right" vertical="top"/>
      <protection locked="0"/>
    </xf>
    <xf numFmtId="171" fontId="28" fillId="2" borderId="5" xfId="0" applyNumberFormat="1" applyFont="1" applyFill="1" applyBorder="1" applyAlignment="1" applyProtection="1">
      <alignment horizontal="right" vertical="top"/>
      <protection locked="0"/>
    </xf>
    <xf numFmtId="0" fontId="30" fillId="2" borderId="5" xfId="0" applyFont="1" applyFill="1" applyBorder="1" applyAlignment="1" applyProtection="1">
      <alignment horizontal="left" vertical="top"/>
      <protection locked="0"/>
    </xf>
    <xf numFmtId="170" fontId="30" fillId="2" borderId="5" xfId="0" applyNumberFormat="1" applyFont="1" applyFill="1" applyBorder="1" applyAlignment="1" applyProtection="1">
      <alignment horizontal="right" vertical="top"/>
      <protection locked="0"/>
    </xf>
    <xf numFmtId="166" fontId="30" fillId="2" borderId="5" xfId="0" applyNumberFormat="1" applyFont="1" applyFill="1" applyBorder="1" applyAlignment="1" applyProtection="1">
      <alignment horizontal="right" vertical="top"/>
      <protection locked="0"/>
    </xf>
    <xf numFmtId="2" fontId="28" fillId="2" borderId="5" xfId="0" applyNumberFormat="1" applyFont="1" applyFill="1" applyBorder="1" applyAlignment="1" applyProtection="1">
      <alignment horizontal="right" vertical="top"/>
      <protection locked="0"/>
    </xf>
    <xf numFmtId="0" fontId="29" fillId="2" borderId="5" xfId="0" applyFont="1" applyFill="1" applyBorder="1" applyAlignment="1" applyProtection="1">
      <alignment horizontal="left" vertical="top"/>
      <protection locked="0"/>
    </xf>
    <xf numFmtId="169" fontId="29" fillId="2" borderId="5" xfId="0" applyNumberFormat="1" applyFont="1" applyFill="1" applyBorder="1" applyAlignment="1" applyProtection="1">
      <alignment horizontal="left" vertical="top"/>
      <protection locked="0"/>
    </xf>
    <xf numFmtId="172" fontId="29" fillId="2" borderId="5" xfId="0" applyNumberFormat="1" applyFont="1" applyFill="1" applyBorder="1" applyAlignment="1" applyProtection="1">
      <alignment horizontal="left" vertical="top"/>
      <protection locked="0"/>
    </xf>
    <xf numFmtId="165" fontId="28" fillId="2" borderId="0" xfId="1" applyFont="1" applyFill="1"/>
    <xf numFmtId="170" fontId="29" fillId="2" borderId="5" xfId="0" applyNumberFormat="1" applyFont="1" applyFill="1" applyBorder="1" applyAlignment="1" applyProtection="1">
      <alignment horizontal="right" vertical="top"/>
      <protection locked="0"/>
    </xf>
    <xf numFmtId="169" fontId="29" fillId="2" borderId="5" xfId="0" applyNumberFormat="1" applyFont="1" applyFill="1" applyBorder="1" applyAlignment="1" applyProtection="1">
      <alignment horizontal="right" vertical="top"/>
      <protection locked="0"/>
    </xf>
    <xf numFmtId="166" fontId="29" fillId="2" borderId="5" xfId="0" applyNumberFormat="1" applyFont="1" applyFill="1" applyBorder="1" applyAlignment="1" applyProtection="1">
      <alignment horizontal="right" vertical="top"/>
      <protection locked="0"/>
    </xf>
    <xf numFmtId="170" fontId="41" fillId="2" borderId="5" xfId="0" applyNumberFormat="1" applyFont="1" applyFill="1" applyBorder="1" applyAlignment="1" applyProtection="1">
      <alignment horizontal="right" vertical="top"/>
      <protection locked="0"/>
    </xf>
    <xf numFmtId="4" fontId="19" fillId="0" borderId="0" xfId="0" applyNumberFormat="1" applyFont="1" applyBorder="1"/>
    <xf numFmtId="0" fontId="21" fillId="3" borderId="5" xfId="0" applyFont="1" applyFill="1" applyBorder="1" applyAlignment="1" applyProtection="1">
      <alignment horizontal="left" vertical="top"/>
      <protection locked="0"/>
    </xf>
    <xf numFmtId="165" fontId="21" fillId="3" borderId="5" xfId="1" applyFont="1" applyFill="1" applyBorder="1" applyAlignment="1" applyProtection="1">
      <alignment horizontal="left" vertical="top"/>
      <protection locked="0"/>
    </xf>
    <xf numFmtId="165" fontId="31" fillId="3" borderId="5" xfId="1" applyFont="1" applyFill="1" applyBorder="1" applyAlignment="1" applyProtection="1">
      <alignment horizontal="right" vertical="top"/>
      <protection locked="0"/>
    </xf>
    <xf numFmtId="165" fontId="19" fillId="3" borderId="5" xfId="1" applyFont="1" applyFill="1" applyBorder="1"/>
    <xf numFmtId="165" fontId="24" fillId="3" borderId="5" xfId="1" applyFont="1" applyFill="1" applyBorder="1"/>
    <xf numFmtId="165" fontId="19" fillId="3" borderId="5" xfId="1" applyFont="1" applyFill="1" applyBorder="1" applyAlignment="1">
      <alignment horizontal="right"/>
    </xf>
    <xf numFmtId="4" fontId="19" fillId="3" borderId="5" xfId="0" applyNumberFormat="1" applyFont="1" applyFill="1" applyBorder="1"/>
    <xf numFmtId="4" fontId="19" fillId="3" borderId="8" xfId="0" applyNumberFormat="1" applyFont="1" applyFill="1" applyBorder="1"/>
    <xf numFmtId="164" fontId="19" fillId="3" borderId="5" xfId="0" applyNumberFormat="1" applyFont="1" applyFill="1" applyBorder="1"/>
    <xf numFmtId="164" fontId="21" fillId="3" borderId="5" xfId="3" applyFont="1" applyFill="1" applyBorder="1" applyAlignment="1" applyProtection="1">
      <alignment horizontal="right" vertical="top"/>
      <protection locked="0"/>
    </xf>
    <xf numFmtId="165" fontId="21" fillId="3" borderId="5" xfId="1" applyFont="1" applyFill="1" applyBorder="1" applyAlignment="1" applyProtection="1">
      <alignment horizontal="right" vertical="top"/>
      <protection locked="0"/>
    </xf>
    <xf numFmtId="165" fontId="19" fillId="3" borderId="8" xfId="1" applyFont="1" applyFill="1" applyBorder="1"/>
    <xf numFmtId="164" fontId="19" fillId="3" borderId="5" xfId="3" applyFont="1" applyFill="1" applyBorder="1" applyAlignment="1" applyProtection="1">
      <alignment horizontal="right" vertical="top"/>
      <protection locked="0"/>
    </xf>
    <xf numFmtId="164" fontId="21" fillId="3" borderId="9" xfId="3" applyFont="1" applyFill="1" applyBorder="1" applyAlignment="1" applyProtection="1">
      <alignment horizontal="right" vertical="top"/>
      <protection locked="0"/>
    </xf>
    <xf numFmtId="0" fontId="8" fillId="2" borderId="8" xfId="0" applyFont="1" applyFill="1" applyBorder="1" applyAlignment="1" applyProtection="1">
      <alignment horizontal="left" vertical="top"/>
      <protection locked="0"/>
    </xf>
    <xf numFmtId="0" fontId="8" fillId="2" borderId="8" xfId="2" applyFont="1" applyFill="1" applyBorder="1" applyAlignment="1" applyProtection="1">
      <alignment horizontal="left" vertical="top"/>
      <protection locked="0"/>
    </xf>
    <xf numFmtId="164" fontId="6" fillId="2" borderId="5" xfId="0" applyNumberFormat="1" applyFont="1" applyFill="1" applyBorder="1"/>
    <xf numFmtId="0" fontId="5" fillId="0" borderId="25" xfId="0" applyFont="1" applyBorder="1"/>
    <xf numFmtId="164" fontId="5" fillId="0" borderId="17" xfId="0" applyNumberFormat="1" applyFont="1" applyBorder="1"/>
    <xf numFmtId="0" fontId="8" fillId="0" borderId="19" xfId="0" applyFont="1" applyFill="1" applyBorder="1" applyAlignment="1" applyProtection="1">
      <alignment horizontal="left" vertical="top"/>
      <protection locked="0"/>
    </xf>
    <xf numFmtId="164" fontId="6" fillId="0" borderId="19" xfId="0" applyNumberFormat="1" applyFont="1" applyBorder="1"/>
    <xf numFmtId="164" fontId="6" fillId="0" borderId="0" xfId="3" applyFont="1"/>
    <xf numFmtId="164" fontId="5" fillId="2" borderId="2" xfId="3" applyFont="1" applyFill="1" applyBorder="1" applyAlignment="1">
      <alignment horizontal="right" vertical="top" wrapText="1"/>
    </xf>
    <xf numFmtId="164" fontId="5" fillId="2" borderId="21" xfId="3" quotePrefix="1" applyFont="1" applyFill="1" applyBorder="1" applyAlignment="1">
      <alignment horizontal="right" vertical="top" wrapText="1"/>
    </xf>
    <xf numFmtId="164" fontId="5" fillId="2" borderId="20" xfId="3" quotePrefix="1" applyFont="1" applyFill="1" applyBorder="1" applyAlignment="1">
      <alignment horizontal="right" vertical="top" wrapText="1"/>
    </xf>
    <xf numFmtId="164" fontId="5" fillId="2" borderId="22" xfId="3" quotePrefix="1" applyFont="1" applyFill="1" applyBorder="1" applyAlignment="1">
      <alignment horizontal="right" vertical="top" wrapText="1"/>
    </xf>
    <xf numFmtId="164" fontId="6" fillId="2" borderId="5" xfId="3" applyFont="1" applyFill="1" applyBorder="1"/>
    <xf numFmtId="164" fontId="6" fillId="2" borderId="7" xfId="3" applyFont="1" applyFill="1" applyBorder="1"/>
    <xf numFmtId="164" fontId="6" fillId="2" borderId="15" xfId="3" applyFont="1" applyFill="1" applyBorder="1"/>
    <xf numFmtId="164" fontId="6" fillId="0" borderId="5" xfId="3" applyFont="1" applyBorder="1"/>
    <xf numFmtId="164" fontId="6" fillId="0" borderId="7" xfId="3" applyFont="1" applyBorder="1"/>
    <xf numFmtId="164" fontId="6" fillId="0" borderId="15" xfId="3" applyFont="1" applyBorder="1"/>
    <xf numFmtId="164" fontId="6" fillId="0" borderId="16" xfId="3" applyFont="1" applyBorder="1"/>
    <xf numFmtId="165" fontId="42" fillId="5" borderId="5" xfId="1" applyFont="1" applyFill="1" applyBorder="1" applyAlignment="1">
      <alignment horizontal="left" vertical="center" wrapText="1"/>
    </xf>
    <xf numFmtId="164" fontId="6" fillId="0" borderId="9" xfId="3" applyFont="1" applyBorder="1"/>
    <xf numFmtId="164" fontId="6" fillId="0" borderId="23" xfId="3" applyFont="1" applyBorder="1"/>
    <xf numFmtId="164" fontId="6" fillId="0" borderId="10" xfId="3" applyFont="1" applyBorder="1"/>
    <xf numFmtId="164" fontId="6" fillId="0" borderId="24" xfId="3" applyFont="1" applyBorder="1"/>
    <xf numFmtId="164" fontId="6" fillId="0" borderId="19" xfId="3" applyFont="1" applyBorder="1"/>
    <xf numFmtId="164" fontId="6" fillId="0" borderId="26" xfId="3" applyFont="1" applyBorder="1"/>
    <xf numFmtId="164" fontId="5" fillId="0" borderId="17" xfId="3" applyFont="1" applyBorder="1"/>
    <xf numFmtId="164" fontId="5" fillId="0" borderId="25" xfId="3" applyFont="1" applyBorder="1"/>
    <xf numFmtId="164" fontId="5" fillId="0" borderId="11" xfId="3" applyFont="1" applyBorder="1"/>
    <xf numFmtId="164" fontId="5" fillId="0" borderId="1" xfId="3" applyFont="1" applyBorder="1"/>
    <xf numFmtId="164" fontId="5" fillId="0" borderId="0" xfId="3" applyFont="1"/>
    <xf numFmtId="164" fontId="6" fillId="0" borderId="15" xfId="3" applyFont="1" applyFill="1" applyBorder="1"/>
    <xf numFmtId="0" fontId="0" fillId="0" borderId="5" xfId="0" applyBorder="1"/>
    <xf numFmtId="164" fontId="5" fillId="2" borderId="1" xfId="3" applyFont="1" applyFill="1" applyBorder="1"/>
    <xf numFmtId="165" fontId="0" fillId="0" borderId="0" xfId="1" applyFont="1"/>
    <xf numFmtId="165" fontId="0" fillId="0" borderId="0" xfId="0" applyNumberFormat="1"/>
    <xf numFmtId="164" fontId="5" fillId="2" borderId="1" xfId="3" applyFont="1" applyFill="1" applyBorder="1" applyAlignment="1">
      <alignment horizontal="right" vertical="top" wrapText="1"/>
    </xf>
    <xf numFmtId="164" fontId="6" fillId="2" borderId="1" xfId="3" applyFont="1" applyFill="1" applyBorder="1"/>
    <xf numFmtId="164" fontId="5" fillId="0" borderId="0" xfId="3" applyFont="1" applyFill="1" applyBorder="1"/>
    <xf numFmtId="164" fontId="5" fillId="2" borderId="7" xfId="3" applyFont="1" applyFill="1" applyBorder="1"/>
    <xf numFmtId="164" fontId="5" fillId="2" borderId="27" xfId="3" quotePrefix="1" applyFont="1" applyFill="1" applyBorder="1" applyAlignment="1">
      <alignment horizontal="right" vertical="top" wrapText="1"/>
    </xf>
    <xf numFmtId="164" fontId="43" fillId="0" borderId="0" xfId="3" applyFont="1"/>
    <xf numFmtId="164" fontId="44" fillId="2" borderId="12" xfId="3" applyFont="1" applyFill="1" applyBorder="1" applyAlignment="1">
      <alignment horizontal="right" vertical="top" wrapText="1"/>
    </xf>
    <xf numFmtId="164" fontId="43" fillId="2" borderId="12" xfId="3" applyFont="1" applyFill="1" applyBorder="1"/>
    <xf numFmtId="164" fontId="43" fillId="0" borderId="24" xfId="3" applyFont="1" applyBorder="1"/>
    <xf numFmtId="164" fontId="43" fillId="2" borderId="5" xfId="3" applyFont="1" applyFill="1" applyBorder="1"/>
    <xf numFmtId="164" fontId="43" fillId="2" borderId="9" xfId="3" applyFont="1" applyFill="1" applyBorder="1"/>
    <xf numFmtId="164" fontId="44" fillId="2" borderId="1" xfId="3" applyFont="1" applyFill="1" applyBorder="1"/>
    <xf numFmtId="165" fontId="43" fillId="0" borderId="0" xfId="0" applyNumberFormat="1" applyFont="1"/>
    <xf numFmtId="164" fontId="43" fillId="0" borderId="0" xfId="0" applyNumberFormat="1" applyFont="1"/>
    <xf numFmtId="0" fontId="43" fillId="0" borderId="0" xfId="0" applyFont="1"/>
    <xf numFmtId="165" fontId="43" fillId="2" borderId="0" xfId="1" applyFont="1" applyFill="1" applyBorder="1"/>
    <xf numFmtId="0" fontId="43" fillId="2" borderId="0" xfId="0" applyFont="1" applyFill="1" applyBorder="1"/>
    <xf numFmtId="15" fontId="44" fillId="0" borderId="1" xfId="0" applyNumberFormat="1" applyFont="1" applyBorder="1" applyAlignment="1">
      <alignment horizontal="left"/>
    </xf>
    <xf numFmtId="164" fontId="44" fillId="2" borderId="2" xfId="3" applyFont="1" applyFill="1" applyBorder="1" applyAlignment="1">
      <alignment horizontal="right" vertical="top" wrapText="1"/>
    </xf>
    <xf numFmtId="0" fontId="44" fillId="2" borderId="1" xfId="0" applyFont="1" applyFill="1" applyBorder="1" applyAlignment="1">
      <alignment vertical="top" wrapText="1"/>
    </xf>
    <xf numFmtId="164" fontId="44" fillId="2" borderId="21" xfId="3" quotePrefix="1" applyFont="1" applyFill="1" applyBorder="1" applyAlignment="1">
      <alignment horizontal="right" vertical="top" wrapText="1"/>
    </xf>
    <xf numFmtId="164" fontId="44" fillId="2" borderId="20" xfId="3" quotePrefix="1" applyFont="1" applyFill="1" applyBorder="1" applyAlignment="1">
      <alignment horizontal="right" vertical="top" wrapText="1"/>
    </xf>
    <xf numFmtId="164" fontId="44" fillId="2" borderId="22" xfId="3" quotePrefix="1" applyFont="1" applyFill="1" applyBorder="1" applyAlignment="1">
      <alignment horizontal="right" vertical="top" wrapText="1"/>
    </xf>
    <xf numFmtId="0" fontId="45" fillId="2" borderId="8" xfId="0" applyFont="1" applyFill="1" applyBorder="1" applyAlignment="1" applyProtection="1">
      <alignment horizontal="left" vertical="top"/>
      <protection locked="0"/>
    </xf>
    <xf numFmtId="164" fontId="43" fillId="2" borderId="5" xfId="0" applyNumberFormat="1" applyFont="1" applyFill="1" applyBorder="1"/>
    <xf numFmtId="164" fontId="43" fillId="2" borderId="7" xfId="3" applyFont="1" applyFill="1" applyBorder="1"/>
    <xf numFmtId="164" fontId="43" fillId="2" borderId="15" xfId="3" applyFont="1" applyFill="1" applyBorder="1"/>
    <xf numFmtId="0" fontId="46" fillId="2" borderId="8" xfId="0" applyFont="1" applyFill="1" applyBorder="1" applyAlignment="1" applyProtection="1">
      <alignment horizontal="left" vertical="top"/>
      <protection locked="0"/>
    </xf>
    <xf numFmtId="164" fontId="43" fillId="2" borderId="0" xfId="0" applyNumberFormat="1" applyFont="1" applyFill="1" applyBorder="1"/>
    <xf numFmtId="164" fontId="43" fillId="0" borderId="15" xfId="3" applyFont="1" applyFill="1" applyBorder="1"/>
    <xf numFmtId="0" fontId="45" fillId="0" borderId="8" xfId="0" applyFont="1" applyFill="1" applyBorder="1" applyAlignment="1" applyProtection="1">
      <alignment horizontal="left" vertical="top"/>
      <protection locked="0"/>
    </xf>
    <xf numFmtId="164" fontId="43" fillId="0" borderId="5" xfId="0" applyNumberFormat="1" applyFont="1" applyBorder="1"/>
    <xf numFmtId="164" fontId="43" fillId="0" borderId="5" xfId="3" applyFont="1" applyBorder="1"/>
    <xf numFmtId="164" fontId="43" fillId="0" borderId="7" xfId="3" applyFont="1" applyBorder="1"/>
    <xf numFmtId="164" fontId="43" fillId="0" borderId="15" xfId="3" applyFont="1" applyBorder="1"/>
    <xf numFmtId="0" fontId="45" fillId="2" borderId="8" xfId="2" applyFont="1" applyFill="1" applyBorder="1" applyAlignment="1" applyProtection="1">
      <alignment horizontal="left" vertical="top"/>
      <protection locked="0"/>
    </xf>
    <xf numFmtId="0" fontId="47" fillId="0" borderId="8" xfId="0" applyFont="1" applyBorder="1" applyAlignment="1" applyProtection="1">
      <alignment horizontal="left" vertical="top"/>
      <protection locked="0"/>
    </xf>
    <xf numFmtId="0" fontId="45" fillId="0" borderId="10" xfId="0" applyFont="1" applyFill="1" applyBorder="1" applyAlignment="1" applyProtection="1">
      <alignment horizontal="left" vertical="top"/>
      <protection locked="0"/>
    </xf>
    <xf numFmtId="165" fontId="48" fillId="2" borderId="10" xfId="1" applyFont="1" applyFill="1" applyBorder="1" applyAlignment="1">
      <alignment horizontal="left" vertical="center" wrapText="1"/>
    </xf>
    <xf numFmtId="0" fontId="45" fillId="0" borderId="8" xfId="2" applyFont="1" applyBorder="1" applyAlignment="1" applyProtection="1">
      <alignment horizontal="left" vertical="top"/>
      <protection locked="0"/>
    </xf>
    <xf numFmtId="0" fontId="45" fillId="2" borderId="5" xfId="0" applyFont="1" applyFill="1" applyBorder="1" applyAlignment="1" applyProtection="1">
      <alignment horizontal="left" vertical="top"/>
      <protection locked="0"/>
    </xf>
    <xf numFmtId="164" fontId="43" fillId="2" borderId="9" xfId="0" applyNumberFormat="1" applyFont="1" applyFill="1" applyBorder="1"/>
    <xf numFmtId="0" fontId="47" fillId="0" borderId="10" xfId="0" applyFont="1" applyBorder="1" applyAlignment="1" applyProtection="1">
      <alignment horizontal="left" vertical="top"/>
      <protection locked="0"/>
    </xf>
    <xf numFmtId="164" fontId="43" fillId="0" borderId="9" xfId="0" applyNumberFormat="1" applyFont="1" applyBorder="1"/>
    <xf numFmtId="164" fontId="43" fillId="0" borderId="9" xfId="3" applyFont="1" applyBorder="1"/>
    <xf numFmtId="164" fontId="43" fillId="0" borderId="16" xfId="3" applyFont="1" applyBorder="1"/>
    <xf numFmtId="164" fontId="43" fillId="0" borderId="23" xfId="3" applyFont="1" applyBorder="1"/>
    <xf numFmtId="0" fontId="45" fillId="0" borderId="9" xfId="0" applyFont="1" applyFill="1" applyBorder="1" applyAlignment="1" applyProtection="1">
      <alignment horizontal="left" vertical="top"/>
      <protection locked="0"/>
    </xf>
    <xf numFmtId="164" fontId="43" fillId="0" borderId="10" xfId="3" applyFont="1" applyBorder="1"/>
    <xf numFmtId="164" fontId="43" fillId="2" borderId="24" xfId="3" applyFont="1" applyFill="1" applyBorder="1"/>
    <xf numFmtId="0" fontId="45" fillId="2" borderId="9" xfId="0" applyFont="1" applyFill="1" applyBorder="1" applyAlignment="1" applyProtection="1">
      <alignment horizontal="left" vertical="top"/>
      <protection locked="0"/>
    </xf>
    <xf numFmtId="164" fontId="43" fillId="2" borderId="23" xfId="3" applyFont="1" applyFill="1" applyBorder="1"/>
    <xf numFmtId="0" fontId="43" fillId="0" borderId="0" xfId="0" applyFont="1" applyBorder="1"/>
    <xf numFmtId="164" fontId="43" fillId="2" borderId="10" xfId="3" applyFont="1" applyFill="1" applyBorder="1"/>
    <xf numFmtId="164" fontId="43" fillId="2" borderId="16" xfId="3" applyFont="1" applyFill="1" applyBorder="1"/>
    <xf numFmtId="0" fontId="44" fillId="0" borderId="12" xfId="0" applyFont="1" applyBorder="1"/>
    <xf numFmtId="164" fontId="44" fillId="0" borderId="13" xfId="0" applyNumberFormat="1" applyFont="1" applyBorder="1"/>
    <xf numFmtId="164" fontId="44" fillId="0" borderId="13" xfId="3" applyFont="1" applyBorder="1"/>
    <xf numFmtId="164" fontId="44" fillId="0" borderId="28" xfId="3" applyFont="1" applyBorder="1"/>
    <xf numFmtId="164" fontId="44" fillId="0" borderId="1" xfId="3" applyFont="1" applyBorder="1"/>
    <xf numFmtId="0" fontId="44" fillId="0" borderId="0" xfId="0" applyFont="1"/>
    <xf numFmtId="164" fontId="43" fillId="2" borderId="0" xfId="3" applyFont="1" applyFill="1"/>
    <xf numFmtId="164" fontId="44" fillId="0" borderId="0" xfId="0" applyNumberFormat="1" applyFont="1"/>
    <xf numFmtId="164" fontId="44" fillId="0" borderId="0" xfId="3" applyFont="1"/>
    <xf numFmtId="165" fontId="6" fillId="0" borderId="0" xfId="1" applyFont="1"/>
    <xf numFmtId="164" fontId="49" fillId="0" borderId="0" xfId="0" applyNumberFormat="1" applyFont="1"/>
    <xf numFmtId="164" fontId="49" fillId="0" borderId="0" xfId="0" applyNumberFormat="1" applyFont="1" applyAlignment="1">
      <alignment wrapText="1"/>
    </xf>
    <xf numFmtId="0" fontId="49" fillId="0" borderId="0" xfId="0" applyFont="1"/>
    <xf numFmtId="164" fontId="49" fillId="0" borderId="0" xfId="3" applyFont="1"/>
    <xf numFmtId="0" fontId="49" fillId="0" borderId="0" xfId="0" applyFont="1" applyAlignment="1">
      <alignment wrapText="1"/>
    </xf>
    <xf numFmtId="15" fontId="17" fillId="0" borderId="1" xfId="0" applyNumberFormat="1" applyFont="1" applyBorder="1" applyAlignment="1">
      <alignment horizontal="left" vertical="center"/>
    </xf>
    <xf numFmtId="164" fontId="17" fillId="2" borderId="2" xfId="3" applyFont="1" applyFill="1" applyBorder="1" applyAlignment="1">
      <alignment horizontal="right" vertical="top" wrapText="1"/>
    </xf>
    <xf numFmtId="164" fontId="17" fillId="2" borderId="12" xfId="3" applyFont="1" applyFill="1" applyBorder="1" applyAlignment="1">
      <alignment horizontal="right" vertical="top" wrapText="1"/>
    </xf>
    <xf numFmtId="0" fontId="17" fillId="2" borderId="1" xfId="0" applyFont="1" applyFill="1" applyBorder="1" applyAlignment="1">
      <alignment vertical="top" wrapText="1"/>
    </xf>
    <xf numFmtId="164" fontId="17" fillId="2" borderId="21" xfId="3" quotePrefix="1" applyFont="1" applyFill="1" applyBorder="1" applyAlignment="1">
      <alignment horizontal="right" vertical="top" wrapText="1"/>
    </xf>
    <xf numFmtId="164" fontId="17" fillId="2" borderId="20" xfId="3" quotePrefix="1" applyFont="1" applyFill="1" applyBorder="1" applyAlignment="1">
      <alignment horizontal="right" vertical="top" wrapText="1"/>
    </xf>
    <xf numFmtId="164" fontId="17" fillId="2" borderId="22" xfId="3" quotePrefix="1" applyFont="1" applyFill="1" applyBorder="1" applyAlignment="1">
      <alignment horizontal="right" vertical="top" wrapText="1"/>
    </xf>
    <xf numFmtId="164" fontId="49" fillId="2" borderId="12" xfId="3" applyFont="1" applyFill="1" applyBorder="1"/>
    <xf numFmtId="164" fontId="49" fillId="0" borderId="0" xfId="3" applyFont="1" applyBorder="1"/>
    <xf numFmtId="0" fontId="50" fillId="2" borderId="8" xfId="0" applyFont="1" applyFill="1" applyBorder="1" applyAlignment="1" applyProtection="1">
      <alignment horizontal="left" vertical="top"/>
      <protection locked="0"/>
    </xf>
    <xf numFmtId="164" fontId="49" fillId="2" borderId="5" xfId="3" applyFont="1" applyFill="1" applyBorder="1"/>
    <xf numFmtId="164" fontId="49" fillId="2" borderId="5" xfId="0" applyNumberFormat="1" applyFont="1" applyFill="1" applyBorder="1" applyAlignment="1">
      <alignment wrapText="1"/>
    </xf>
    <xf numFmtId="164" fontId="49" fillId="2" borderId="5" xfId="0" applyNumberFormat="1" applyFont="1" applyFill="1" applyBorder="1"/>
    <xf numFmtId="0" fontId="51" fillId="2" borderId="8" xfId="0" applyFont="1" applyFill="1" applyBorder="1" applyAlignment="1" applyProtection="1">
      <alignment horizontal="left" vertical="top"/>
      <protection locked="0"/>
    </xf>
    <xf numFmtId="164" fontId="52" fillId="2" borderId="5" xfId="0" applyNumberFormat="1" applyFont="1" applyFill="1" applyBorder="1" applyAlignment="1">
      <alignment wrapText="1"/>
    </xf>
    <xf numFmtId="164" fontId="49" fillId="0" borderId="5" xfId="3" applyFont="1" applyFill="1" applyBorder="1"/>
    <xf numFmtId="164" fontId="49" fillId="2" borderId="7" xfId="3" applyFont="1" applyFill="1" applyBorder="1"/>
    <xf numFmtId="164" fontId="49" fillId="2" borderId="15" xfId="3" applyFont="1" applyFill="1" applyBorder="1"/>
    <xf numFmtId="164" fontId="49" fillId="0" borderId="15" xfId="3" applyFont="1" applyFill="1" applyBorder="1"/>
    <xf numFmtId="0" fontId="50" fillId="0" borderId="8" xfId="0" applyFont="1" applyFill="1" applyBorder="1" applyAlignment="1" applyProtection="1">
      <alignment horizontal="left" vertical="top"/>
      <protection locked="0"/>
    </xf>
    <xf numFmtId="164" fontId="49" fillId="0" borderId="5" xfId="0" applyNumberFormat="1" applyFont="1" applyBorder="1"/>
    <xf numFmtId="164" fontId="49" fillId="0" borderId="5" xfId="3" applyFont="1" applyBorder="1"/>
    <xf numFmtId="164" fontId="49" fillId="0" borderId="7" xfId="3" applyFont="1" applyBorder="1"/>
    <xf numFmtId="164" fontId="49" fillId="0" borderId="15" xfId="3" applyFont="1" applyBorder="1"/>
    <xf numFmtId="0" fontId="50" fillId="2" borderId="8" xfId="2" applyFont="1" applyFill="1" applyBorder="1" applyAlignment="1" applyProtection="1">
      <alignment horizontal="left" vertical="top"/>
      <protection locked="0"/>
    </xf>
    <xf numFmtId="0" fontId="53" fillId="0" borderId="8" xfId="0" applyFont="1" applyBorder="1" applyAlignment="1" applyProtection="1">
      <alignment horizontal="left" vertical="top"/>
      <protection locked="0"/>
    </xf>
    <xf numFmtId="0" fontId="50" fillId="0" borderId="10" xfId="0" applyFont="1" applyFill="1" applyBorder="1" applyAlignment="1" applyProtection="1">
      <alignment horizontal="left" vertical="top"/>
      <protection locked="0"/>
    </xf>
    <xf numFmtId="165" fontId="54" fillId="2" borderId="10" xfId="1" applyFont="1" applyFill="1" applyBorder="1" applyAlignment="1">
      <alignment horizontal="left" vertical="center" wrapText="1"/>
    </xf>
    <xf numFmtId="0" fontId="50" fillId="0" borderId="8" xfId="2" applyFont="1" applyBorder="1" applyAlignment="1" applyProtection="1">
      <alignment horizontal="left" vertical="top"/>
      <protection locked="0"/>
    </xf>
    <xf numFmtId="0" fontId="50" fillId="2" borderId="5" xfId="0" applyFont="1" applyFill="1" applyBorder="1" applyAlignment="1" applyProtection="1">
      <alignment horizontal="left" vertical="top"/>
      <protection locked="0"/>
    </xf>
    <xf numFmtId="164" fontId="49" fillId="2" borderId="9" xfId="0" applyNumberFormat="1" applyFont="1" applyFill="1" applyBorder="1" applyAlignment="1">
      <alignment wrapText="1"/>
    </xf>
    <xf numFmtId="164" fontId="49" fillId="2" borderId="9" xfId="0" applyNumberFormat="1" applyFont="1" applyFill="1" applyBorder="1"/>
    <xf numFmtId="164" fontId="49" fillId="2" borderId="9" xfId="3" applyFont="1" applyFill="1" applyBorder="1"/>
    <xf numFmtId="0" fontId="53" fillId="0" borderId="10" xfId="0" applyFont="1" applyBorder="1" applyAlignment="1" applyProtection="1">
      <alignment horizontal="left" vertical="top"/>
      <protection locked="0"/>
    </xf>
    <xf numFmtId="164" fontId="49" fillId="0" borderId="9" xfId="0" applyNumberFormat="1" applyFont="1" applyBorder="1"/>
    <xf numFmtId="164" fontId="49" fillId="0" borderId="9" xfId="3" applyFont="1" applyBorder="1"/>
    <xf numFmtId="164" fontId="49" fillId="0" borderId="16" xfId="3" applyFont="1" applyBorder="1"/>
    <xf numFmtId="164" fontId="49" fillId="0" borderId="23" xfId="3" applyFont="1" applyBorder="1"/>
    <xf numFmtId="0" fontId="50" fillId="0" borderId="9" xfId="0" applyFont="1" applyFill="1" applyBorder="1" applyAlignment="1" applyProtection="1">
      <alignment horizontal="left" vertical="top"/>
      <protection locked="0"/>
    </xf>
    <xf numFmtId="164" fontId="49" fillId="0" borderId="10" xfId="3" applyFont="1" applyBorder="1"/>
    <xf numFmtId="164" fontId="49" fillId="0" borderId="24" xfId="3" applyFont="1" applyBorder="1"/>
    <xf numFmtId="164" fontId="49" fillId="2" borderId="24" xfId="3" applyFont="1" applyFill="1" applyBorder="1"/>
    <xf numFmtId="0" fontId="50" fillId="2" borderId="9" xfId="0" applyFont="1" applyFill="1" applyBorder="1" applyAlignment="1" applyProtection="1">
      <alignment horizontal="left" vertical="top"/>
      <protection locked="0"/>
    </xf>
    <xf numFmtId="164" fontId="49" fillId="2" borderId="23" xfId="3" applyFont="1" applyFill="1" applyBorder="1"/>
    <xf numFmtId="164" fontId="49" fillId="2" borderId="10" xfId="3" applyFont="1" applyFill="1" applyBorder="1"/>
    <xf numFmtId="164" fontId="49" fillId="2" borderId="16" xfId="3" applyFont="1" applyFill="1" applyBorder="1"/>
    <xf numFmtId="0" fontId="17" fillId="0" borderId="12" xfId="0" applyFont="1" applyBorder="1"/>
    <xf numFmtId="164" fontId="17" fillId="2" borderId="1" xfId="3" applyFont="1" applyFill="1" applyBorder="1"/>
    <xf numFmtId="164" fontId="17" fillId="0" borderId="13" xfId="0" applyNumberFormat="1" applyFont="1" applyBorder="1" applyAlignment="1">
      <alignment wrapText="1"/>
    </xf>
    <xf numFmtId="164" fontId="17" fillId="0" borderId="13" xfId="0" applyNumberFormat="1" applyFont="1" applyBorder="1"/>
    <xf numFmtId="164" fontId="17" fillId="0" borderId="13" xfId="3" applyFont="1" applyBorder="1"/>
    <xf numFmtId="164" fontId="17" fillId="0" borderId="1" xfId="3" applyFont="1" applyBorder="1"/>
    <xf numFmtId="164" fontId="17" fillId="0" borderId="28" xfId="3" applyFont="1" applyBorder="1"/>
    <xf numFmtId="0" fontId="17" fillId="0" borderId="0" xfId="0" applyFont="1"/>
    <xf numFmtId="164" fontId="49" fillId="2" borderId="0" xfId="3" applyFont="1" applyFill="1"/>
    <xf numFmtId="165" fontId="49" fillId="0" borderId="0" xfId="0" applyNumberFormat="1" applyFont="1"/>
    <xf numFmtId="164" fontId="17" fillId="0" borderId="0" xfId="0" applyNumberFormat="1" applyFont="1"/>
    <xf numFmtId="164" fontId="17" fillId="0" borderId="0" xfId="0" applyNumberFormat="1" applyFont="1" applyAlignment="1">
      <alignment wrapText="1"/>
    </xf>
    <xf numFmtId="164" fontId="17" fillId="0" borderId="0" xfId="3" applyFont="1"/>
    <xf numFmtId="164" fontId="56" fillId="2" borderId="0" xfId="0" applyNumberFormat="1" applyFont="1" applyFill="1"/>
    <xf numFmtId="0" fontId="56" fillId="2" borderId="0" xfId="0" applyFont="1" applyFill="1"/>
    <xf numFmtId="164" fontId="56" fillId="2" borderId="0" xfId="3" applyFont="1" applyFill="1"/>
    <xf numFmtId="165" fontId="56" fillId="2" borderId="0" xfId="1" applyFont="1" applyFill="1"/>
    <xf numFmtId="0" fontId="56" fillId="0" borderId="0" xfId="0" applyFont="1" applyBorder="1"/>
    <xf numFmtId="0" fontId="56" fillId="0" borderId="0" xfId="0" applyFont="1"/>
    <xf numFmtId="164" fontId="55" fillId="2" borderId="2" xfId="3" applyFont="1" applyFill="1" applyBorder="1" applyAlignment="1">
      <alignment horizontal="right" vertical="top" wrapText="1"/>
    </xf>
    <xf numFmtId="165" fontId="55" fillId="2" borderId="2" xfId="1" applyFont="1" applyFill="1" applyBorder="1" applyAlignment="1">
      <alignment horizontal="right" vertical="top" wrapText="1"/>
    </xf>
    <xf numFmtId="164" fontId="55" fillId="2" borderId="11" xfId="3" applyFont="1" applyFill="1" applyBorder="1" applyAlignment="1">
      <alignment horizontal="right" vertical="top" wrapText="1"/>
    </xf>
    <xf numFmtId="164" fontId="55" fillId="2" borderId="21" xfId="3" quotePrefix="1" applyFont="1" applyFill="1" applyBorder="1" applyAlignment="1">
      <alignment horizontal="right" vertical="top" wrapText="1"/>
    </xf>
    <xf numFmtId="164" fontId="55" fillId="2" borderId="20" xfId="3" quotePrefix="1" applyFont="1" applyFill="1" applyBorder="1" applyAlignment="1">
      <alignment horizontal="right" vertical="top" wrapText="1"/>
    </xf>
    <xf numFmtId="164" fontId="55" fillId="2" borderId="22" xfId="3" quotePrefix="1" applyFont="1" applyFill="1" applyBorder="1" applyAlignment="1">
      <alignment horizontal="right" vertical="top" wrapText="1"/>
    </xf>
    <xf numFmtId="165" fontId="55" fillId="2" borderId="22" xfId="1" quotePrefix="1" applyFont="1" applyFill="1" applyBorder="1" applyAlignment="1">
      <alignment horizontal="right" vertical="top" wrapText="1"/>
    </xf>
    <xf numFmtId="164" fontId="56" fillId="2" borderId="11" xfId="3" applyFont="1" applyFill="1" applyBorder="1"/>
    <xf numFmtId="0" fontId="56" fillId="0" borderId="1" xfId="0" applyFont="1" applyBorder="1"/>
    <xf numFmtId="164" fontId="56" fillId="2" borderId="0" xfId="3" applyFont="1" applyFill="1" applyBorder="1"/>
    <xf numFmtId="164" fontId="56" fillId="2" borderId="5" xfId="3" applyFont="1" applyFill="1" applyBorder="1"/>
    <xf numFmtId="164" fontId="56" fillId="2" borderId="5" xfId="0" applyNumberFormat="1" applyFont="1" applyFill="1" applyBorder="1"/>
    <xf numFmtId="164" fontId="56" fillId="2" borderId="8" xfId="3" applyFont="1" applyFill="1" applyBorder="1"/>
    <xf numFmtId="165" fontId="56" fillId="2" borderId="5" xfId="1" applyFont="1" applyFill="1" applyBorder="1"/>
    <xf numFmtId="0" fontId="56" fillId="2" borderId="5" xfId="0" applyFont="1" applyFill="1" applyBorder="1"/>
    <xf numFmtId="164" fontId="56" fillId="2" borderId="5" xfId="3" applyFont="1" applyFill="1" applyBorder="1" applyAlignment="1">
      <alignment wrapText="1"/>
    </xf>
    <xf numFmtId="0" fontId="56" fillId="3" borderId="0" xfId="0" applyFont="1" applyFill="1"/>
    <xf numFmtId="164" fontId="56" fillId="2" borderId="7" xfId="3" applyFont="1" applyFill="1" applyBorder="1"/>
    <xf numFmtId="164" fontId="56" fillId="2" borderId="15" xfId="3" applyFont="1" applyFill="1" applyBorder="1"/>
    <xf numFmtId="165" fontId="57" fillId="2" borderId="10" xfId="1" applyFont="1" applyFill="1" applyBorder="1" applyAlignment="1">
      <alignment horizontal="left" vertical="center" wrapText="1"/>
    </xf>
    <xf numFmtId="164" fontId="56" fillId="2" borderId="9" xfId="0" applyNumberFormat="1" applyFont="1" applyFill="1" applyBorder="1"/>
    <xf numFmtId="164" fontId="56" fillId="2" borderId="9" xfId="3" applyFont="1" applyFill="1" applyBorder="1"/>
    <xf numFmtId="164" fontId="56" fillId="2" borderId="16" xfId="3" applyFont="1" applyFill="1" applyBorder="1"/>
    <xf numFmtId="164" fontId="56" fillId="2" borderId="23" xfId="3" applyFont="1" applyFill="1" applyBorder="1"/>
    <xf numFmtId="164" fontId="56" fillId="2" borderId="10" xfId="3" applyFont="1" applyFill="1" applyBorder="1"/>
    <xf numFmtId="164" fontId="56" fillId="2" borderId="24" xfId="3" applyFont="1" applyFill="1" applyBorder="1"/>
    <xf numFmtId="165" fontId="56" fillId="2" borderId="9" xfId="1" applyFont="1" applyFill="1" applyBorder="1"/>
    <xf numFmtId="164" fontId="56" fillId="2" borderId="9" xfId="3" applyFont="1" applyFill="1" applyBorder="1" applyAlignment="1">
      <alignment wrapText="1"/>
    </xf>
    <xf numFmtId="164" fontId="55" fillId="2" borderId="1" xfId="3" applyFont="1" applyFill="1" applyBorder="1"/>
    <xf numFmtId="164" fontId="55" fillId="2" borderId="13" xfId="0" applyNumberFormat="1" applyFont="1" applyFill="1" applyBorder="1"/>
    <xf numFmtId="164" fontId="55" fillId="2" borderId="13" xfId="3" applyFont="1" applyFill="1" applyBorder="1"/>
    <xf numFmtId="164" fontId="55" fillId="2" borderId="14" xfId="3" applyFont="1" applyFill="1" applyBorder="1"/>
    <xf numFmtId="164" fontId="55" fillId="2" borderId="29" xfId="3" applyFont="1" applyFill="1" applyBorder="1"/>
    <xf numFmtId="164" fontId="55" fillId="2" borderId="11" xfId="3" applyFont="1" applyFill="1" applyBorder="1"/>
    <xf numFmtId="165" fontId="55" fillId="2" borderId="1" xfId="1" applyFont="1" applyFill="1" applyBorder="1"/>
    <xf numFmtId="165" fontId="55" fillId="2" borderId="4" xfId="1" applyFont="1" applyFill="1" applyBorder="1"/>
    <xf numFmtId="165" fontId="56" fillId="2" borderId="0" xfId="0" applyNumberFormat="1" applyFont="1" applyFill="1"/>
    <xf numFmtId="165" fontId="56" fillId="2" borderId="0" xfId="1" applyFont="1" applyFill="1" applyBorder="1"/>
    <xf numFmtId="0" fontId="56" fillId="2" borderId="0" xfId="0" applyFont="1" applyFill="1" applyBorder="1"/>
    <xf numFmtId="165" fontId="56" fillId="0" borderId="0" xfId="0" applyNumberFormat="1" applyFont="1" applyBorder="1"/>
    <xf numFmtId="164" fontId="55" fillId="2" borderId="0" xfId="0" applyNumberFormat="1" applyFont="1" applyFill="1"/>
    <xf numFmtId="164" fontId="55" fillId="2" borderId="0" xfId="3" applyFont="1" applyFill="1"/>
    <xf numFmtId="0" fontId="56" fillId="2" borderId="1" xfId="0" applyFont="1" applyFill="1" applyBorder="1"/>
    <xf numFmtId="165" fontId="55" fillId="2" borderId="11" xfId="1" applyFont="1" applyFill="1" applyBorder="1"/>
    <xf numFmtId="164" fontId="56" fillId="2" borderId="0" xfId="0" applyNumberFormat="1" applyFont="1" applyFill="1" applyBorder="1"/>
    <xf numFmtId="165" fontId="55" fillId="2" borderId="0" xfId="1" applyFont="1" applyFill="1" applyBorder="1"/>
    <xf numFmtId="165" fontId="55" fillId="2" borderId="29" xfId="1" applyFont="1" applyFill="1" applyBorder="1"/>
    <xf numFmtId="164" fontId="55" fillId="2" borderId="31" xfId="3" quotePrefix="1" applyFont="1" applyFill="1" applyBorder="1" applyAlignment="1">
      <alignment horizontal="left" vertical="top" wrapText="1"/>
    </xf>
    <xf numFmtId="164" fontId="59" fillId="6" borderId="11" xfId="3" applyFont="1" applyFill="1" applyBorder="1" applyAlignment="1">
      <alignment horizontal="right" vertical="top" wrapText="1"/>
    </xf>
    <xf numFmtId="164" fontId="60" fillId="6" borderId="11" xfId="3" applyFont="1" applyFill="1" applyBorder="1"/>
    <xf numFmtId="0" fontId="56" fillId="2" borderId="8" xfId="2" applyFont="1" applyFill="1" applyBorder="1" applyAlignment="1" applyProtection="1">
      <alignment horizontal="left" vertical="top"/>
      <protection locked="0"/>
    </xf>
    <xf numFmtId="0" fontId="61" fillId="2" borderId="8" xfId="0" applyFont="1" applyFill="1" applyBorder="1" applyAlignment="1" applyProtection="1">
      <alignment horizontal="left" vertical="top"/>
      <protection locked="0"/>
    </xf>
    <xf numFmtId="0" fontId="56" fillId="2" borderId="10" xfId="0" applyFont="1" applyFill="1" applyBorder="1" applyAlignment="1" applyProtection="1">
      <alignment horizontal="left" vertical="top"/>
      <protection locked="0"/>
    </xf>
    <xf numFmtId="0" fontId="56" fillId="2" borderId="5" xfId="0" applyFont="1" applyFill="1" applyBorder="1" applyAlignment="1" applyProtection="1">
      <alignment horizontal="left" vertical="top"/>
      <protection locked="0"/>
    </xf>
    <xf numFmtId="164" fontId="55" fillId="2" borderId="1" xfId="3" applyFont="1" applyFill="1" applyBorder="1" applyAlignment="1">
      <alignment horizontal="right" vertical="top" wrapText="1"/>
    </xf>
    <xf numFmtId="164" fontId="60" fillId="7" borderId="0" xfId="3" applyFont="1" applyFill="1" applyBorder="1"/>
    <xf numFmtId="164" fontId="60" fillId="7" borderId="8" xfId="3" applyFont="1" applyFill="1" applyBorder="1"/>
    <xf numFmtId="164" fontId="60" fillId="7" borderId="10" xfId="3" applyFont="1" applyFill="1" applyBorder="1"/>
    <xf numFmtId="164" fontId="59" fillId="7" borderId="1" xfId="3" applyFont="1" applyFill="1" applyBorder="1"/>
    <xf numFmtId="165" fontId="55" fillId="2" borderId="29" xfId="1" applyFont="1" applyFill="1" applyBorder="1" applyAlignment="1">
      <alignment horizontal="right" vertical="top" wrapText="1"/>
    </xf>
    <xf numFmtId="165" fontId="55" fillId="2" borderId="20" xfId="1" quotePrefix="1" applyFont="1" applyFill="1" applyBorder="1" applyAlignment="1">
      <alignment horizontal="right" vertical="top" wrapText="1"/>
    </xf>
    <xf numFmtId="165" fontId="56" fillId="2" borderId="30" xfId="1" applyFont="1" applyFill="1" applyBorder="1"/>
    <xf numFmtId="165" fontId="55" fillId="2" borderId="13" xfId="1" applyFont="1" applyFill="1" applyBorder="1"/>
    <xf numFmtId="165" fontId="55" fillId="2" borderId="16" xfId="1" applyFont="1" applyFill="1" applyBorder="1"/>
    <xf numFmtId="165" fontId="56" fillId="0" borderId="0" xfId="1" applyFont="1"/>
    <xf numFmtId="165" fontId="63" fillId="0" borderId="5" xfId="1" applyFont="1" applyFill="1" applyBorder="1" applyAlignment="1" applyProtection="1">
      <alignment horizontal="right" vertical="top"/>
      <protection locked="0"/>
    </xf>
    <xf numFmtId="165" fontId="63" fillId="2" borderId="5" xfId="1" applyFont="1" applyFill="1" applyBorder="1" applyAlignment="1" applyProtection="1">
      <alignment horizontal="right" vertical="top"/>
      <protection locked="0"/>
    </xf>
    <xf numFmtId="165" fontId="56" fillId="0" borderId="5" xfId="1" applyFont="1" applyBorder="1"/>
    <xf numFmtId="165" fontId="55" fillId="2" borderId="24" xfId="1" applyFont="1" applyFill="1" applyBorder="1"/>
    <xf numFmtId="164" fontId="60" fillId="2" borderId="8" xfId="3" applyFont="1" applyFill="1" applyBorder="1"/>
    <xf numFmtId="4" fontId="0" fillId="2" borderId="0" xfId="0" applyNumberFormat="1" applyFill="1"/>
    <xf numFmtId="164" fontId="6" fillId="2" borderId="0" xfId="3" applyFont="1" applyFill="1"/>
    <xf numFmtId="165" fontId="56" fillId="2" borderId="11" xfId="1" applyFont="1" applyFill="1" applyBorder="1"/>
    <xf numFmtId="165" fontId="56" fillId="2" borderId="8" xfId="1" applyFont="1" applyFill="1" applyBorder="1"/>
    <xf numFmtId="0" fontId="0" fillId="2" borderId="0" xfId="0" applyFill="1"/>
    <xf numFmtId="165" fontId="56" fillId="2" borderId="7" xfId="1" applyFont="1" applyFill="1" applyBorder="1"/>
    <xf numFmtId="165" fontId="56" fillId="2" borderId="24" xfId="1" applyFont="1" applyFill="1" applyBorder="1"/>
    <xf numFmtId="165" fontId="55" fillId="2" borderId="0" xfId="1" applyFont="1" applyFill="1"/>
    <xf numFmtId="165" fontId="0" fillId="2" borderId="0" xfId="1" applyFont="1" applyFill="1" applyAlignment="1">
      <alignment horizontal="right"/>
    </xf>
    <xf numFmtId="164" fontId="55" fillId="2" borderId="4" xfId="3" applyFont="1" applyFill="1" applyBorder="1" applyAlignment="1">
      <alignment horizontal="right" vertical="top" wrapText="1"/>
    </xf>
    <xf numFmtId="164" fontId="55" fillId="2" borderId="25" xfId="3" applyFont="1" applyFill="1" applyBorder="1" applyAlignment="1">
      <alignment horizontal="right"/>
    </xf>
    <xf numFmtId="164" fontId="55" fillId="2" borderId="5" xfId="3" applyFont="1" applyFill="1" applyBorder="1" applyAlignment="1">
      <alignment horizontal="right" vertical="top" wrapText="1"/>
    </xf>
    <xf numFmtId="165" fontId="30" fillId="2" borderId="5" xfId="1" applyFont="1" applyFill="1" applyBorder="1"/>
    <xf numFmtId="167" fontId="64" fillId="2" borderId="0" xfId="2" applyNumberFormat="1" applyFont="1" applyFill="1" applyAlignment="1" applyProtection="1">
      <alignment horizontal="right" vertical="top"/>
      <protection locked="0"/>
    </xf>
    <xf numFmtId="165" fontId="28" fillId="2" borderId="0" xfId="1" applyFont="1" applyFill="1" applyAlignment="1" applyProtection="1">
      <alignment horizontal="right" vertical="top"/>
      <protection locked="0"/>
    </xf>
    <xf numFmtId="164" fontId="56" fillId="2" borderId="5" xfId="3" applyFont="1" applyFill="1" applyBorder="1" applyAlignment="1">
      <alignment horizontal="left" wrapText="1"/>
    </xf>
    <xf numFmtId="165" fontId="56" fillId="2" borderId="10" xfId="1" applyFont="1" applyFill="1" applyBorder="1"/>
    <xf numFmtId="0" fontId="56" fillId="0" borderId="0" xfId="0" applyFont="1" applyFill="1"/>
    <xf numFmtId="164" fontId="55" fillId="2" borderId="0" xfId="3" applyFont="1" applyFill="1" applyBorder="1"/>
    <xf numFmtId="4" fontId="86" fillId="2" borderId="5" xfId="77" applyNumberFormat="1" applyFont="1" applyFill="1" applyBorder="1" applyAlignment="1">
      <alignment horizontal="right"/>
    </xf>
    <xf numFmtId="173" fontId="0" fillId="2" borderId="0" xfId="1" applyNumberFormat="1" applyFont="1" applyFill="1" applyBorder="1"/>
    <xf numFmtId="43" fontId="56" fillId="2" borderId="0" xfId="0" applyNumberFormat="1" applyFont="1" applyFill="1"/>
    <xf numFmtId="43" fontId="56" fillId="2" borderId="0" xfId="0" applyNumberFormat="1" applyFont="1" applyFill="1" applyBorder="1"/>
    <xf numFmtId="164" fontId="59" fillId="7" borderId="11" xfId="3" applyFont="1" applyFill="1" applyBorder="1" applyAlignment="1">
      <alignment horizontal="right" vertical="top" wrapText="1"/>
    </xf>
    <xf numFmtId="164" fontId="60" fillId="7" borderId="11" xfId="3" applyFont="1" applyFill="1" applyBorder="1"/>
    <xf numFmtId="170" fontId="63" fillId="2" borderId="0" xfId="2" applyNumberFormat="1" applyFont="1" applyFill="1" applyAlignment="1" applyProtection="1">
      <alignment horizontal="right" vertical="top"/>
      <protection locked="0"/>
    </xf>
    <xf numFmtId="0" fontId="0" fillId="0" borderId="0" xfId="0"/>
    <xf numFmtId="0" fontId="56" fillId="2" borderId="41" xfId="0" applyFont="1" applyFill="1" applyBorder="1"/>
    <xf numFmtId="165" fontId="55" fillId="0" borderId="42" xfId="1" applyFont="1" applyBorder="1"/>
    <xf numFmtId="164" fontId="59" fillId="7" borderId="13" xfId="3" applyFont="1" applyFill="1" applyBorder="1"/>
    <xf numFmtId="164" fontId="55" fillId="2" borderId="28" xfId="3" applyFont="1" applyFill="1" applyBorder="1"/>
    <xf numFmtId="164" fontId="30" fillId="2" borderId="5" xfId="3" applyFont="1" applyFill="1" applyBorder="1"/>
    <xf numFmtId="164" fontId="30" fillId="2" borderId="5" xfId="0" applyNumberFormat="1" applyFont="1" applyFill="1" applyBorder="1"/>
    <xf numFmtId="0" fontId="30" fillId="2" borderId="9" xfId="0" applyFont="1" applyFill="1" applyBorder="1" applyAlignment="1" applyProtection="1">
      <alignment horizontal="left" vertical="top"/>
      <protection locked="0"/>
    </xf>
    <xf numFmtId="164" fontId="30" fillId="2" borderId="9" xfId="3" applyFont="1" applyFill="1" applyBorder="1"/>
    <xf numFmtId="164" fontId="30" fillId="2" borderId="9" xfId="0" applyNumberFormat="1" applyFont="1" applyFill="1" applyBorder="1"/>
    <xf numFmtId="165" fontId="30" fillId="2" borderId="9" xfId="1" applyFont="1" applyFill="1" applyBorder="1"/>
    <xf numFmtId="173" fontId="56" fillId="2" borderId="0" xfId="1" applyNumberFormat="1" applyFont="1" applyFill="1" applyBorder="1"/>
    <xf numFmtId="167" fontId="88" fillId="2" borderId="0" xfId="2" applyNumberFormat="1" applyFont="1" applyFill="1" applyAlignment="1" applyProtection="1">
      <alignment horizontal="right" vertical="top"/>
      <protection locked="0"/>
    </xf>
    <xf numFmtId="165" fontId="63" fillId="2" borderId="0" xfId="1" applyFont="1" applyFill="1" applyAlignment="1" applyProtection="1">
      <alignment horizontal="right" vertical="top"/>
      <protection locked="0"/>
    </xf>
    <xf numFmtId="43" fontId="55" fillId="2" borderId="5" xfId="82" applyFont="1" applyFill="1" applyBorder="1"/>
    <xf numFmtId="43" fontId="56" fillId="2" borderId="5" xfId="82" applyFont="1" applyFill="1" applyBorder="1"/>
    <xf numFmtId="164" fontId="56" fillId="2" borderId="1" xfId="3" applyFont="1" applyFill="1" applyBorder="1"/>
    <xf numFmtId="164" fontId="55" fillId="2" borderId="17" xfId="3" applyFont="1" applyFill="1" applyBorder="1"/>
    <xf numFmtId="43" fontId="64" fillId="0" borderId="0" xfId="82" applyFont="1" applyFill="1" applyBorder="1" applyAlignment="1" applyProtection="1">
      <alignment horizontal="right" vertical="top"/>
      <protection locked="0"/>
    </xf>
    <xf numFmtId="165" fontId="0" fillId="2" borderId="0" xfId="1" applyFont="1" applyFill="1"/>
    <xf numFmtId="4" fontId="80" fillId="2" borderId="5" xfId="85" applyNumberFormat="1" applyFont="1" applyFill="1" applyBorder="1" applyAlignment="1">
      <alignment horizontal="right"/>
    </xf>
    <xf numFmtId="165" fontId="6" fillId="7" borderId="0" xfId="1" applyFont="1" applyFill="1"/>
    <xf numFmtId="165" fontId="6" fillId="7" borderId="0" xfId="1" applyFont="1" applyFill="1" applyBorder="1"/>
    <xf numFmtId="165" fontId="5" fillId="7" borderId="0" xfId="1" applyFont="1" applyFill="1" applyBorder="1" applyAlignment="1">
      <alignment vertical="center"/>
    </xf>
    <xf numFmtId="173" fontId="5" fillId="7" borderId="0" xfId="0" applyNumberFormat="1" applyFont="1" applyFill="1" applyBorder="1" applyAlignment="1">
      <alignment vertical="center"/>
    </xf>
    <xf numFmtId="0" fontId="17" fillId="0" borderId="5" xfId="0" applyFont="1" applyBorder="1"/>
    <xf numFmtId="0" fontId="49" fillId="0" borderId="5" xfId="0" applyFont="1" applyBorder="1"/>
    <xf numFmtId="43" fontId="49" fillId="0" borderId="5" xfId="0" applyNumberFormat="1" applyFont="1" applyBorder="1"/>
    <xf numFmtId="164" fontId="17" fillId="0" borderId="5" xfId="0" applyNumberFormat="1" applyFont="1" applyBorder="1"/>
    <xf numFmtId="43" fontId="0" fillId="2" borderId="0" xfId="0" applyNumberFormat="1" applyFill="1"/>
    <xf numFmtId="165" fontId="91" fillId="2" borderId="9" xfId="1" applyFont="1" applyFill="1" applyBorder="1"/>
    <xf numFmtId="43" fontId="0" fillId="0" borderId="0" xfId="0" applyNumberFormat="1"/>
    <xf numFmtId="43" fontId="3" fillId="0" borderId="0" xfId="82" applyFont="1" applyBorder="1"/>
    <xf numFmtId="165" fontId="56" fillId="2" borderId="5" xfId="50" applyNumberFormat="1" applyFont="1" applyFill="1" applyBorder="1"/>
    <xf numFmtId="165" fontId="55" fillId="2" borderId="12" xfId="1" applyFont="1" applyFill="1" applyBorder="1"/>
    <xf numFmtId="165" fontId="55" fillId="2" borderId="1" xfId="1" applyFont="1" applyFill="1" applyBorder="1" applyAlignment="1">
      <alignment horizontal="right" vertical="top" wrapText="1"/>
    </xf>
    <xf numFmtId="4" fontId="56" fillId="2" borderId="5" xfId="0" applyNumberFormat="1" applyFont="1" applyFill="1" applyBorder="1"/>
    <xf numFmtId="165" fontId="56" fillId="2" borderId="0" xfId="1" applyFont="1" applyFill="1" applyAlignment="1">
      <alignment horizontal="right"/>
    </xf>
    <xf numFmtId="164" fontId="55" fillId="7" borderId="11" xfId="3" applyFont="1" applyFill="1" applyBorder="1" applyAlignment="1">
      <alignment horizontal="right" vertical="top" wrapText="1"/>
    </xf>
    <xf numFmtId="164" fontId="56" fillId="7" borderId="25" xfId="3" applyFont="1" applyFill="1" applyBorder="1"/>
    <xf numFmtId="164" fontId="56" fillId="7" borderId="0" xfId="3" applyFont="1" applyFill="1" applyBorder="1"/>
    <xf numFmtId="164" fontId="56" fillId="7" borderId="8" xfId="3" applyFont="1" applyFill="1" applyBorder="1"/>
    <xf numFmtId="164" fontId="56" fillId="7" borderId="10" xfId="3" applyFont="1" applyFill="1" applyBorder="1"/>
    <xf numFmtId="164" fontId="55" fillId="7" borderId="2" xfId="3" applyFont="1" applyFill="1" applyBorder="1"/>
    <xf numFmtId="165" fontId="55" fillId="2" borderId="4" xfId="1" applyFont="1" applyFill="1" applyBorder="1" applyAlignment="1">
      <alignment horizontal="right" vertical="top" wrapText="1"/>
    </xf>
    <xf numFmtId="165" fontId="55" fillId="2" borderId="27" xfId="1" quotePrefix="1" applyFont="1" applyFill="1" applyBorder="1" applyAlignment="1">
      <alignment horizontal="right" vertical="top" wrapText="1"/>
    </xf>
    <xf numFmtId="165" fontId="55" fillId="2" borderId="14" xfId="1" applyFont="1" applyFill="1" applyBorder="1"/>
    <xf numFmtId="4" fontId="85" fillId="0" borderId="0" xfId="0" applyNumberFormat="1" applyFont="1"/>
    <xf numFmtId="4" fontId="80" fillId="2" borderId="0" xfId="85" applyNumberFormat="1" applyFont="1" applyFill="1" applyBorder="1" applyAlignment="1">
      <alignment horizontal="right"/>
    </xf>
    <xf numFmtId="164" fontId="92" fillId="2" borderId="5" xfId="3" applyFont="1" applyFill="1" applyBorder="1"/>
    <xf numFmtId="164" fontId="92" fillId="2" borderId="5" xfId="0" applyNumberFormat="1" applyFont="1" applyFill="1" applyBorder="1"/>
    <xf numFmtId="165" fontId="92" fillId="2" borderId="5" xfId="1" applyFont="1" applyFill="1" applyBorder="1"/>
    <xf numFmtId="164" fontId="92" fillId="2" borderId="8" xfId="3" applyFont="1" applyFill="1" applyBorder="1"/>
    <xf numFmtId="165" fontId="92" fillId="2" borderId="8" xfId="1" applyFont="1" applyFill="1" applyBorder="1"/>
    <xf numFmtId="43" fontId="92" fillId="2" borderId="5" xfId="82" applyFont="1" applyFill="1" applyBorder="1"/>
    <xf numFmtId="164" fontId="92" fillId="2" borderId="7" xfId="3" applyFont="1" applyFill="1" applyBorder="1"/>
    <xf numFmtId="165" fontId="92" fillId="2" borderId="7" xfId="1" applyFont="1" applyFill="1" applyBorder="1"/>
    <xf numFmtId="164" fontId="92" fillId="2" borderId="15" xfId="3" applyFont="1" applyFill="1" applyBorder="1"/>
    <xf numFmtId="165" fontId="92" fillId="2" borderId="0" xfId="1" applyFont="1" applyFill="1"/>
    <xf numFmtId="165" fontId="92" fillId="2" borderId="0" xfId="1" applyFont="1" applyFill="1" applyAlignment="1" applyProtection="1">
      <alignment horizontal="right" vertical="top"/>
      <protection locked="0"/>
    </xf>
    <xf numFmtId="164" fontId="92" fillId="2" borderId="9" xfId="0" applyNumberFormat="1" applyFont="1" applyFill="1" applyBorder="1"/>
    <xf numFmtId="164" fontId="92" fillId="2" borderId="9" xfId="3" applyFont="1" applyFill="1" applyBorder="1"/>
    <xf numFmtId="164" fontId="92" fillId="2" borderId="24" xfId="3" applyFont="1" applyFill="1" applyBorder="1"/>
    <xf numFmtId="0" fontId="92" fillId="2" borderId="5" xfId="0" applyFont="1" applyFill="1" applyBorder="1"/>
    <xf numFmtId="164" fontId="92" fillId="2" borderId="10" xfId="3" applyFont="1" applyFill="1" applyBorder="1"/>
    <xf numFmtId="165" fontId="92" fillId="2" borderId="9" xfId="1" applyFont="1" applyFill="1" applyBorder="1"/>
    <xf numFmtId="164" fontId="92" fillId="2" borderId="23" xfId="3" applyFont="1" applyFill="1" applyBorder="1"/>
    <xf numFmtId="164" fontId="92" fillId="2" borderId="16" xfId="3" applyFont="1" applyFill="1" applyBorder="1"/>
    <xf numFmtId="43" fontId="12" fillId="2" borderId="0" xfId="0" applyNumberFormat="1" applyFont="1" applyFill="1"/>
    <xf numFmtId="165" fontId="92" fillId="2" borderId="10" xfId="1" applyFont="1" applyFill="1" applyBorder="1"/>
    <xf numFmtId="43" fontId="55" fillId="0" borderId="5" xfId="82" applyFont="1" applyBorder="1"/>
    <xf numFmtId="0" fontId="94" fillId="0" borderId="5" xfId="0" applyNumberFormat="1" applyFont="1" applyBorder="1"/>
    <xf numFmtId="0" fontId="94" fillId="2" borderId="5" xfId="0" applyNumberFormat="1" applyFont="1" applyFill="1" applyBorder="1"/>
    <xf numFmtId="0" fontId="6" fillId="0" borderId="5" xfId="0" applyFont="1" applyBorder="1"/>
    <xf numFmtId="0" fontId="94" fillId="0" borderId="9" xfId="0" applyNumberFormat="1" applyFont="1" applyBorder="1"/>
    <xf numFmtId="0" fontId="94" fillId="0" borderId="5" xfId="0" applyNumberFormat="1" applyFont="1" applyBorder="1" applyAlignment="1">
      <alignment wrapText="1"/>
    </xf>
    <xf numFmtId="0" fontId="5" fillId="0" borderId="11" xfId="0" applyFont="1" applyBorder="1"/>
    <xf numFmtId="165" fontId="92" fillId="2" borderId="5" xfId="1" applyFont="1" applyFill="1" applyBorder="1" applyAlignment="1" applyProtection="1">
      <alignment horizontal="right" vertical="top"/>
      <protection locked="0"/>
    </xf>
    <xf numFmtId="165" fontId="92" fillId="2" borderId="5" xfId="1" applyFont="1" applyFill="1" applyBorder="1" applyAlignment="1">
      <alignment horizontal="right"/>
    </xf>
    <xf numFmtId="165" fontId="92" fillId="2" borderId="24" xfId="1" applyFont="1" applyFill="1" applyBorder="1"/>
    <xf numFmtId="165" fontId="92" fillId="2" borderId="5" xfId="50" applyNumberFormat="1" applyFont="1" applyFill="1" applyBorder="1"/>
    <xf numFmtId="4" fontId="92" fillId="2" borderId="5" xfId="0" applyNumberFormat="1" applyFont="1" applyFill="1" applyBorder="1"/>
    <xf numFmtId="0" fontId="0" fillId="3" borderId="0" xfId="0" applyFill="1"/>
    <xf numFmtId="0" fontId="56" fillId="0" borderId="9" xfId="0" applyFont="1" applyFill="1" applyBorder="1" applyAlignment="1" applyProtection="1">
      <alignment horizontal="left" vertical="top"/>
      <protection locked="0"/>
    </xf>
    <xf numFmtId="165" fontId="91" fillId="2" borderId="5" xfId="1" applyFont="1" applyFill="1" applyBorder="1"/>
    <xf numFmtId="43" fontId="56" fillId="2" borderId="5" xfId="82" applyFont="1" applyFill="1" applyBorder="1" applyAlignment="1">
      <alignment horizontal="right"/>
    </xf>
    <xf numFmtId="0" fontId="94" fillId="0" borderId="5" xfId="0" applyNumberFormat="1" applyFont="1" applyBorder="1" applyAlignment="1"/>
    <xf numFmtId="0" fontId="94" fillId="2" borderId="5" xfId="0" applyNumberFormat="1" applyFont="1" applyFill="1" applyBorder="1" applyAlignment="1"/>
    <xf numFmtId="43" fontId="56" fillId="2" borderId="8" xfId="82" applyFont="1" applyFill="1" applyBorder="1"/>
    <xf numFmtId="0" fontId="56" fillId="0" borderId="0" xfId="0" applyFont="1" applyAlignment="1">
      <alignment horizontal="left"/>
    </xf>
    <xf numFmtId="0" fontId="55" fillId="0" borderId="0" xfId="0" applyFont="1"/>
    <xf numFmtId="43" fontId="95" fillId="0" borderId="0" xfId="82" applyFont="1"/>
    <xf numFmtId="43" fontId="56" fillId="0" borderId="0" xfId="82" applyFont="1"/>
    <xf numFmtId="0" fontId="96" fillId="0" borderId="0" xfId="0" applyNumberFormat="1" applyFont="1"/>
    <xf numFmtId="0" fontId="96" fillId="0" borderId="0" xfId="0" applyNumberFormat="1" applyFont="1" applyAlignment="1">
      <alignment horizontal="left"/>
    </xf>
    <xf numFmtId="43" fontId="96" fillId="0" borderId="0" xfId="82" applyFont="1" applyAlignment="1">
      <alignment horizontal="right"/>
    </xf>
    <xf numFmtId="0" fontId="96" fillId="0" borderId="5" xfId="0" applyNumberFormat="1" applyFont="1" applyBorder="1"/>
    <xf numFmtId="15" fontId="97" fillId="0" borderId="5" xfId="0" applyNumberFormat="1" applyFont="1" applyBorder="1"/>
    <xf numFmtId="0" fontId="56" fillId="0" borderId="5" xfId="0" applyFont="1" applyBorder="1" applyAlignment="1">
      <alignment horizontal="right"/>
    </xf>
    <xf numFmtId="0" fontId="97" fillId="0" borderId="5" xfId="0" applyNumberFormat="1" applyFont="1" applyBorder="1"/>
    <xf numFmtId="0" fontId="56" fillId="0" borderId="5" xfId="0" applyFont="1" applyBorder="1"/>
    <xf numFmtId="43" fontId="56" fillId="0" borderId="5" xfId="82" applyFont="1" applyBorder="1" applyAlignment="1">
      <alignment horizontal="right"/>
    </xf>
    <xf numFmtId="0" fontId="56" fillId="0" borderId="5" xfId="0" quotePrefix="1" applyFont="1" applyBorder="1" applyAlignment="1">
      <alignment horizontal="right"/>
    </xf>
    <xf numFmtId="0" fontId="96" fillId="0" borderId="9" xfId="0" applyNumberFormat="1" applyFont="1" applyBorder="1"/>
    <xf numFmtId="15" fontId="97" fillId="0" borderId="9" xfId="0" applyNumberFormat="1" applyFont="1" applyBorder="1"/>
    <xf numFmtId="0" fontId="56" fillId="0" borderId="9" xfId="0" applyFont="1" applyBorder="1" applyAlignment="1">
      <alignment horizontal="right"/>
    </xf>
    <xf numFmtId="0" fontId="97" fillId="0" borderId="9" xfId="0" applyNumberFormat="1" applyFont="1" applyBorder="1"/>
    <xf numFmtId="0" fontId="56" fillId="0" borderId="9" xfId="0" applyFont="1" applyBorder="1"/>
    <xf numFmtId="43" fontId="56" fillId="0" borderId="9" xfId="82" applyFont="1" applyBorder="1" applyAlignment="1">
      <alignment horizontal="right"/>
    </xf>
    <xf numFmtId="0" fontId="98" fillId="0" borderId="11" xfId="0" applyNumberFormat="1" applyFont="1" applyBorder="1"/>
    <xf numFmtId="0" fontId="55" fillId="0" borderId="4" xfId="0" applyFont="1" applyBorder="1"/>
    <xf numFmtId="0" fontId="55" fillId="0" borderId="4" xfId="0" applyFont="1" applyBorder="1" applyAlignment="1">
      <alignment horizontal="left"/>
    </xf>
    <xf numFmtId="43" fontId="55" fillId="0" borderId="2" xfId="82" applyFont="1" applyBorder="1"/>
    <xf numFmtId="43" fontId="55" fillId="2" borderId="0" xfId="82" applyFont="1" applyFill="1" applyBorder="1"/>
    <xf numFmtId="43" fontId="3" fillId="0" borderId="0" xfId="82" applyFont="1"/>
    <xf numFmtId="43" fontId="0" fillId="0" borderId="0" xfId="82" applyFont="1"/>
    <xf numFmtId="43" fontId="0" fillId="2" borderId="5" xfId="82" applyFont="1" applyFill="1" applyBorder="1"/>
    <xf numFmtId="43" fontId="3" fillId="2" borderId="5" xfId="82" applyFont="1" applyFill="1" applyBorder="1"/>
    <xf numFmtId="43" fontId="0" fillId="2" borderId="0" xfId="82" applyFont="1" applyFill="1" applyBorder="1"/>
    <xf numFmtId="43" fontId="3" fillId="2" borderId="0" xfId="82" applyFont="1" applyFill="1" applyBorder="1"/>
    <xf numFmtId="43" fontId="0" fillId="0" borderId="0" xfId="82" applyFont="1" applyBorder="1"/>
    <xf numFmtId="43" fontId="2" fillId="2" borderId="5" xfId="82" applyFont="1" applyFill="1" applyBorder="1"/>
    <xf numFmtId="0" fontId="0" fillId="0" borderId="0" xfId="0"/>
    <xf numFmtId="0" fontId="3" fillId="0" borderId="0" xfId="0" applyFont="1"/>
    <xf numFmtId="0" fontId="0" fillId="2" borderId="5" xfId="0" applyFill="1" applyBorder="1"/>
    <xf numFmtId="15" fontId="55" fillId="2" borderId="1" xfId="0" applyNumberFormat="1" applyFont="1" applyFill="1" applyBorder="1" applyAlignment="1">
      <alignment horizontal="left" vertical="center"/>
    </xf>
    <xf numFmtId="0" fontId="3" fillId="2" borderId="5" xfId="0" applyFont="1" applyFill="1" applyBorder="1"/>
    <xf numFmtId="0" fontId="55" fillId="2" borderId="1" xfId="0" applyFont="1" applyFill="1" applyBorder="1" applyAlignment="1">
      <alignment vertical="top" wrapText="1"/>
    </xf>
    <xf numFmtId="0" fontId="56" fillId="2" borderId="0" xfId="0" applyFont="1" applyFill="1"/>
    <xf numFmtId="0" fontId="56" fillId="2" borderId="8" xfId="0" applyFont="1" applyFill="1" applyBorder="1" applyAlignment="1" applyProtection="1">
      <alignment horizontal="left" vertical="top"/>
      <protection locked="0"/>
    </xf>
    <xf numFmtId="0" fontId="0" fillId="2" borderId="5" xfId="0" applyFont="1" applyFill="1" applyBorder="1"/>
    <xf numFmtId="0" fontId="92" fillId="2" borderId="8" xfId="0" applyFont="1" applyFill="1" applyBorder="1" applyAlignment="1" applyProtection="1">
      <alignment horizontal="left" vertical="top"/>
      <protection locked="0"/>
    </xf>
    <xf numFmtId="0" fontId="92" fillId="2" borderId="5" xfId="0" applyFont="1" applyFill="1" applyBorder="1" applyAlignment="1" applyProtection="1">
      <alignment horizontal="left" vertical="top"/>
      <protection locked="0"/>
    </xf>
    <xf numFmtId="0" fontId="92" fillId="2" borderId="9" xfId="0" applyFont="1" applyFill="1" applyBorder="1" applyAlignment="1" applyProtection="1">
      <alignment horizontal="left" vertical="top"/>
      <protection locked="0"/>
    </xf>
    <xf numFmtId="0" fontId="56" fillId="2" borderId="9" xfId="0" applyFont="1" applyFill="1" applyBorder="1" applyAlignment="1" applyProtection="1">
      <alignment horizontal="left" vertical="top"/>
      <protection locked="0"/>
    </xf>
    <xf numFmtId="0" fontId="55" fillId="2" borderId="12" xfId="0" applyFont="1" applyFill="1" applyBorder="1"/>
    <xf numFmtId="165" fontId="56" fillId="2" borderId="0" xfId="0" applyNumberFormat="1" applyFont="1" applyFill="1" applyBorder="1"/>
    <xf numFmtId="0" fontId="0" fillId="2" borderId="0" xfId="0" applyFill="1" applyBorder="1"/>
    <xf numFmtId="0" fontId="55" fillId="2" borderId="0" xfId="0" applyFont="1" applyFill="1"/>
    <xf numFmtId="4" fontId="84" fillId="0" borderId="0" xfId="0" applyNumberFormat="1" applyFont="1" applyAlignment="1">
      <alignment horizontal="right"/>
    </xf>
    <xf numFmtId="0" fontId="3" fillId="2" borderId="0" xfId="0" applyFont="1" applyFill="1" applyBorder="1"/>
    <xf numFmtId="0" fontId="0" fillId="0" borderId="0" xfId="0" applyBorder="1"/>
    <xf numFmtId="43" fontId="56" fillId="2" borderId="0" xfId="82" applyFont="1" applyFill="1" applyBorder="1"/>
    <xf numFmtId="164" fontId="56" fillId="39" borderId="0" xfId="3" applyFont="1" applyFill="1" applyBorder="1"/>
    <xf numFmtId="164" fontId="56" fillId="39" borderId="8" xfId="3" applyFont="1" applyFill="1" applyBorder="1"/>
    <xf numFmtId="164" fontId="56" fillId="39" borderId="10" xfId="3" applyFont="1" applyFill="1" applyBorder="1"/>
    <xf numFmtId="164" fontId="55" fillId="39" borderId="2" xfId="3" applyFont="1" applyFill="1" applyBorder="1"/>
    <xf numFmtId="164" fontId="56" fillId="39" borderId="25" xfId="3" applyFont="1" applyFill="1" applyBorder="1"/>
    <xf numFmtId="14" fontId="0" fillId="0" borderId="5" xfId="0" applyNumberFormat="1" applyBorder="1"/>
    <xf numFmtId="43" fontId="0" fillId="0" borderId="5" xfId="82" applyFont="1" applyBorder="1"/>
    <xf numFmtId="0" fontId="3" fillId="0" borderId="5" xfId="0" applyFont="1" applyBorder="1"/>
    <xf numFmtId="14" fontId="3" fillId="0" borderId="5" xfId="0" applyNumberFormat="1" applyFont="1" applyBorder="1"/>
    <xf numFmtId="43" fontId="3" fillId="0" borderId="5" xfId="82" applyFont="1" applyBorder="1"/>
    <xf numFmtId="0" fontId="0" fillId="3" borderId="5" xfId="0" applyFill="1" applyBorder="1"/>
    <xf numFmtId="14" fontId="0" fillId="3" borderId="5" xfId="0" applyNumberFormat="1" applyFill="1" applyBorder="1"/>
    <xf numFmtId="43" fontId="0" fillId="3" borderId="5" xfId="82" applyFont="1" applyFill="1" applyBorder="1"/>
    <xf numFmtId="0" fontId="3" fillId="3" borderId="5" xfId="0" applyFont="1" applyFill="1" applyBorder="1"/>
    <xf numFmtId="14" fontId="3" fillId="3" borderId="5" xfId="0" applyNumberFormat="1" applyFont="1" applyFill="1" applyBorder="1"/>
    <xf numFmtId="43" fontId="3" fillId="3" borderId="5" xfId="82" applyFont="1" applyFill="1" applyBorder="1"/>
    <xf numFmtId="14" fontId="0" fillId="2" borderId="5" xfId="0" applyNumberFormat="1" applyFill="1" applyBorder="1"/>
    <xf numFmtId="14" fontId="3" fillId="2" borderId="5" xfId="0" applyNumberFormat="1" applyFont="1" applyFill="1" applyBorder="1"/>
    <xf numFmtId="43" fontId="94" fillId="0" borderId="5" xfId="82" applyFont="1" applyBorder="1" applyAlignment="1">
      <alignment horizontal="right"/>
    </xf>
    <xf numFmtId="43" fontId="94" fillId="0" borderId="8" xfId="82" applyFont="1" applyBorder="1" applyAlignment="1">
      <alignment horizontal="right"/>
    </xf>
    <xf numFmtId="43" fontId="94" fillId="2" borderId="5" xfId="82" applyFont="1" applyFill="1" applyBorder="1" applyAlignment="1">
      <alignment horizontal="right"/>
    </xf>
    <xf numFmtId="43" fontId="94" fillId="0" borderId="9" xfId="82" applyFont="1" applyBorder="1" applyAlignment="1">
      <alignment horizontal="right"/>
    </xf>
    <xf numFmtId="43" fontId="64" fillId="2" borderId="0" xfId="82" applyFont="1" applyFill="1" applyBorder="1" applyAlignment="1" applyProtection="1">
      <alignment horizontal="right" vertical="top"/>
      <protection locked="0"/>
    </xf>
    <xf numFmtId="4" fontId="85" fillId="2" borderId="0" xfId="0" applyNumberFormat="1" applyFont="1" applyFill="1"/>
    <xf numFmtId="4" fontId="84" fillId="2" borderId="0" xfId="0" applyNumberFormat="1" applyFont="1" applyFill="1" applyAlignment="1">
      <alignment horizontal="right"/>
    </xf>
    <xf numFmtId="0" fontId="3" fillId="0" borderId="0" xfId="0" applyFont="1" applyAlignment="1">
      <alignment horizontal="right"/>
    </xf>
    <xf numFmtId="15" fontId="100" fillId="0" borderId="0" xfId="0" applyNumberFormat="1" applyFont="1"/>
    <xf numFmtId="43" fontId="0" fillId="0" borderId="0" xfId="82" applyFont="1" applyAlignment="1">
      <alignment horizontal="right"/>
    </xf>
    <xf numFmtId="0" fontId="0" fillId="0" borderId="0" xfId="0" applyFont="1" applyAlignment="1">
      <alignment horizontal="right"/>
    </xf>
    <xf numFmtId="0" fontId="0" fillId="0" borderId="0" xfId="0" applyFont="1" applyFill="1" applyBorder="1" applyAlignment="1">
      <alignment horizontal="right"/>
    </xf>
    <xf numFmtId="0" fontId="0" fillId="0" borderId="0" xfId="0" applyAlignment="1">
      <alignment horizontal="right"/>
    </xf>
    <xf numFmtId="15" fontId="100" fillId="3" borderId="0" xfId="0" applyNumberFormat="1" applyFont="1" applyFill="1"/>
    <xf numFmtId="43" fontId="0" fillId="3" borderId="0" xfId="82" applyFont="1" applyFill="1" applyAlignment="1">
      <alignment horizontal="right"/>
    </xf>
    <xf numFmtId="0" fontId="0" fillId="3" borderId="0" xfId="0" applyFont="1" applyFill="1" applyAlignment="1">
      <alignment horizontal="right"/>
    </xf>
    <xf numFmtId="0" fontId="0" fillId="3" borderId="0" xfId="0" applyFont="1" applyFill="1"/>
    <xf numFmtId="43" fontId="0" fillId="3" borderId="0" xfId="82" applyFont="1" applyFill="1"/>
    <xf numFmtId="0" fontId="101" fillId="0" borderId="0" xfId="0" applyNumberFormat="1" applyFont="1" applyAlignment="1">
      <alignment horizontal="center"/>
    </xf>
    <xf numFmtId="0" fontId="56" fillId="0" borderId="0" xfId="0" applyFont="1" applyAlignment="1">
      <alignment horizontal="center"/>
    </xf>
    <xf numFmtId="0" fontId="55" fillId="0" borderId="0" xfId="0" applyFont="1" applyAlignment="1">
      <alignment horizontal="right"/>
    </xf>
    <xf numFmtId="0" fontId="55" fillId="0" borderId="0" xfId="0" applyFont="1" applyAlignment="1">
      <alignment horizontal="center"/>
    </xf>
    <xf numFmtId="0" fontId="98" fillId="0" borderId="0" xfId="0" applyNumberFormat="1" applyFont="1" applyAlignment="1">
      <alignment horizontal="center"/>
    </xf>
    <xf numFmtId="43" fontId="97" fillId="0" borderId="0" xfId="82" applyFont="1"/>
    <xf numFmtId="0" fontId="98" fillId="0" borderId="0" xfId="0" applyNumberFormat="1" applyFont="1"/>
    <xf numFmtId="0" fontId="98" fillId="0" borderId="5" xfId="0" applyNumberFormat="1" applyFont="1" applyBorder="1"/>
    <xf numFmtId="0" fontId="98" fillId="0" borderId="5" xfId="0" applyNumberFormat="1" applyFont="1" applyBorder="1" applyAlignment="1">
      <alignment horizontal="left"/>
    </xf>
    <xf numFmtId="43" fontId="98" fillId="0" borderId="5" xfId="82" applyFont="1" applyBorder="1" applyAlignment="1">
      <alignment horizontal="right"/>
    </xf>
    <xf numFmtId="15" fontId="98" fillId="0" borderId="5" xfId="0" applyNumberFormat="1" applyFont="1" applyBorder="1"/>
    <xf numFmtId="1" fontId="98" fillId="0" borderId="5" xfId="0" applyNumberFormat="1" applyFont="1" applyBorder="1" applyAlignment="1">
      <alignment horizontal="left"/>
    </xf>
    <xf numFmtId="1" fontId="97" fillId="0" borderId="5" xfId="0" applyNumberFormat="1" applyFont="1" applyBorder="1" applyAlignment="1">
      <alignment horizontal="left"/>
    </xf>
    <xf numFmtId="43" fontId="97" fillId="0" borderId="5" xfId="82" applyFont="1" applyBorder="1" applyAlignment="1">
      <alignment horizontal="right"/>
    </xf>
    <xf numFmtId="0" fontId="56" fillId="0" borderId="5" xfId="0" applyFont="1" applyFill="1" applyBorder="1"/>
    <xf numFmtId="0" fontId="97" fillId="0" borderId="5" xfId="0" applyNumberFormat="1" applyFont="1" applyBorder="1" applyAlignment="1">
      <alignment horizontal="left"/>
    </xf>
    <xf numFmtId="0" fontId="56" fillId="0" borderId="5" xfId="0" applyFont="1" applyBorder="1" applyAlignment="1">
      <alignment horizontal="left"/>
    </xf>
    <xf numFmtId="43" fontId="56" fillId="0" borderId="5" xfId="82" applyFont="1" applyBorder="1"/>
    <xf numFmtId="0" fontId="98" fillId="0" borderId="9" xfId="0" applyNumberFormat="1" applyFont="1" applyBorder="1"/>
    <xf numFmtId="0" fontId="56" fillId="0" borderId="9" xfId="0" applyFont="1" applyBorder="1" applyAlignment="1">
      <alignment horizontal="left"/>
    </xf>
    <xf numFmtId="43" fontId="56" fillId="0" borderId="9" xfId="82" applyFont="1" applyBorder="1"/>
    <xf numFmtId="0" fontId="55" fillId="0" borderId="5" xfId="0" applyFont="1" applyBorder="1"/>
    <xf numFmtId="0" fontId="55" fillId="0" borderId="5" xfId="0" applyFont="1" applyBorder="1" applyAlignment="1">
      <alignment horizontal="left"/>
    </xf>
    <xf numFmtId="164" fontId="56" fillId="0" borderId="0" xfId="0" applyNumberFormat="1" applyFont="1" applyFill="1"/>
    <xf numFmtId="164" fontId="56" fillId="0" borderId="0" xfId="3" applyFont="1" applyFill="1"/>
    <xf numFmtId="165" fontId="56" fillId="0" borderId="0" xfId="1" applyFont="1" applyFill="1"/>
    <xf numFmtId="15" fontId="55" fillId="0" borderId="1" xfId="0" applyNumberFormat="1" applyFont="1" applyFill="1" applyBorder="1" applyAlignment="1">
      <alignment horizontal="left" vertical="center"/>
    </xf>
    <xf numFmtId="164" fontId="55" fillId="0" borderId="2" xfId="3" applyFont="1" applyFill="1" applyBorder="1" applyAlignment="1">
      <alignment horizontal="right" vertical="top" wrapText="1"/>
    </xf>
    <xf numFmtId="165" fontId="55" fillId="0" borderId="2" xfId="1" applyFont="1" applyFill="1" applyBorder="1" applyAlignment="1">
      <alignment horizontal="right" vertical="top" wrapText="1"/>
    </xf>
    <xf numFmtId="164" fontId="55" fillId="0" borderId="11" xfId="3" applyFont="1" applyFill="1" applyBorder="1" applyAlignment="1">
      <alignment horizontal="right" vertical="top" wrapText="1"/>
    </xf>
    <xf numFmtId="0" fontId="55" fillId="0" borderId="1" xfId="0" applyFont="1" applyFill="1" applyBorder="1" applyAlignment="1">
      <alignment vertical="top" wrapText="1"/>
    </xf>
    <xf numFmtId="164" fontId="55" fillId="0" borderId="21" xfId="3" quotePrefix="1" applyFont="1" applyFill="1" applyBorder="1" applyAlignment="1">
      <alignment horizontal="right" vertical="top" wrapText="1"/>
    </xf>
    <xf numFmtId="164" fontId="55" fillId="0" borderId="20" xfId="3" quotePrefix="1" applyFont="1" applyFill="1" applyBorder="1" applyAlignment="1">
      <alignment horizontal="right" vertical="top" wrapText="1"/>
    </xf>
    <xf numFmtId="165" fontId="55" fillId="0" borderId="20" xfId="1" quotePrefix="1" applyFont="1" applyFill="1" applyBorder="1" applyAlignment="1">
      <alignment horizontal="right" vertical="top" wrapText="1"/>
    </xf>
    <xf numFmtId="164" fontId="55" fillId="0" borderId="22" xfId="3" quotePrefix="1" applyFont="1" applyFill="1" applyBorder="1" applyAlignment="1">
      <alignment horizontal="right" vertical="top" wrapText="1"/>
    </xf>
    <xf numFmtId="165" fontId="55" fillId="0" borderId="22" xfId="1" quotePrefix="1" applyFont="1" applyFill="1" applyBorder="1" applyAlignment="1">
      <alignment horizontal="right" vertical="top" wrapText="1"/>
    </xf>
    <xf numFmtId="164" fontId="56" fillId="0" borderId="11" xfId="3" applyFont="1" applyFill="1" applyBorder="1"/>
    <xf numFmtId="164" fontId="56" fillId="0" borderId="0" xfId="3" applyFont="1" applyFill="1" applyBorder="1"/>
    <xf numFmtId="43" fontId="56" fillId="0" borderId="0" xfId="0" applyNumberFormat="1" applyFont="1" applyFill="1"/>
    <xf numFmtId="0" fontId="56" fillId="0" borderId="8" xfId="0" applyFont="1" applyFill="1" applyBorder="1" applyAlignment="1" applyProtection="1">
      <alignment horizontal="left" vertical="top"/>
      <protection locked="0"/>
    </xf>
    <xf numFmtId="164" fontId="56" fillId="0" borderId="5" xfId="3" applyFont="1" applyFill="1" applyBorder="1"/>
    <xf numFmtId="164" fontId="56" fillId="0" borderId="5" xfId="0" applyNumberFormat="1" applyFont="1" applyFill="1" applyBorder="1"/>
    <xf numFmtId="165" fontId="56" fillId="0" borderId="5" xfId="1" applyFont="1" applyFill="1" applyBorder="1"/>
    <xf numFmtId="164" fontId="56" fillId="0" borderId="8" xfId="3" applyFont="1" applyFill="1" applyBorder="1"/>
    <xf numFmtId="43" fontId="56" fillId="0" borderId="5" xfId="82" applyFont="1" applyFill="1" applyBorder="1"/>
    <xf numFmtId="0" fontId="92" fillId="0" borderId="8" xfId="0" applyFont="1" applyFill="1" applyBorder="1" applyAlignment="1" applyProtection="1">
      <alignment horizontal="left" vertical="top"/>
      <protection locked="0"/>
    </xf>
    <xf numFmtId="164" fontId="92" fillId="0" borderId="5" xfId="3" applyFont="1" applyFill="1" applyBorder="1"/>
    <xf numFmtId="164" fontId="92" fillId="0" borderId="5" xfId="0" applyNumberFormat="1" applyFont="1" applyFill="1" applyBorder="1"/>
    <xf numFmtId="165" fontId="92" fillId="0" borderId="5" xfId="1" applyFont="1" applyFill="1" applyBorder="1"/>
    <xf numFmtId="164" fontId="92" fillId="0" borderId="8" xfId="3" applyFont="1" applyFill="1" applyBorder="1"/>
    <xf numFmtId="43" fontId="92" fillId="0" borderId="5" xfId="82" applyFont="1" applyFill="1" applyBorder="1"/>
    <xf numFmtId="165" fontId="92" fillId="0" borderId="5" xfId="1" applyFont="1" applyFill="1" applyBorder="1" applyAlignment="1" applyProtection="1">
      <alignment horizontal="right" vertical="top"/>
      <protection locked="0"/>
    </xf>
    <xf numFmtId="165" fontId="92" fillId="0" borderId="5" xfId="50" applyNumberFormat="1" applyFont="1" applyFill="1" applyBorder="1"/>
    <xf numFmtId="43" fontId="56" fillId="0" borderId="8" xfId="82" applyFont="1" applyFill="1" applyBorder="1"/>
    <xf numFmtId="164" fontId="92" fillId="0" borderId="7" xfId="3" applyFont="1" applyFill="1" applyBorder="1"/>
    <xf numFmtId="165" fontId="92" fillId="0" borderId="7" xfId="1" applyFont="1" applyFill="1" applyBorder="1"/>
    <xf numFmtId="164" fontId="92" fillId="0" borderId="15" xfId="3" applyFont="1" applyFill="1" applyBorder="1"/>
    <xf numFmtId="165" fontId="92" fillId="0" borderId="0" xfId="1" applyFont="1" applyFill="1"/>
    <xf numFmtId="165" fontId="91" fillId="0" borderId="5" xfId="1" applyFont="1" applyFill="1" applyBorder="1"/>
    <xf numFmtId="4" fontId="92" fillId="0" borderId="5" xfId="0" applyNumberFormat="1" applyFont="1" applyFill="1" applyBorder="1"/>
    <xf numFmtId="165" fontId="92" fillId="0" borderId="0" xfId="1" applyFont="1" applyFill="1" applyAlignment="1" applyProtection="1">
      <alignment horizontal="right" vertical="top"/>
      <protection locked="0"/>
    </xf>
    <xf numFmtId="165" fontId="92" fillId="0" borderId="5" xfId="1" applyFont="1" applyFill="1" applyBorder="1" applyAlignment="1">
      <alignment horizontal="right"/>
    </xf>
    <xf numFmtId="0" fontId="92" fillId="0" borderId="5" xfId="0" applyFont="1" applyFill="1" applyBorder="1" applyAlignment="1" applyProtection="1">
      <alignment horizontal="left" vertical="top"/>
      <protection locked="0"/>
    </xf>
    <xf numFmtId="164" fontId="92" fillId="0" borderId="9" xfId="0" applyNumberFormat="1" applyFont="1" applyFill="1" applyBorder="1"/>
    <xf numFmtId="164" fontId="92" fillId="0" borderId="9" xfId="3" applyFont="1" applyFill="1" applyBorder="1"/>
    <xf numFmtId="164" fontId="92" fillId="0" borderId="24" xfId="3" applyFont="1" applyFill="1" applyBorder="1"/>
    <xf numFmtId="0" fontId="92" fillId="0" borderId="5" xfId="0" applyFont="1" applyFill="1" applyBorder="1"/>
    <xf numFmtId="0" fontId="92" fillId="0" borderId="9" xfId="0" applyFont="1" applyFill="1" applyBorder="1" applyAlignment="1" applyProtection="1">
      <alignment horizontal="left" vertical="top"/>
      <protection locked="0"/>
    </xf>
    <xf numFmtId="164" fontId="92" fillId="0" borderId="10" xfId="3" applyFont="1" applyFill="1" applyBorder="1"/>
    <xf numFmtId="165" fontId="92" fillId="0" borderId="24" xfId="1" applyFont="1" applyFill="1" applyBorder="1"/>
    <xf numFmtId="165" fontId="92" fillId="0" borderId="9" xfId="1" applyFont="1" applyFill="1" applyBorder="1"/>
    <xf numFmtId="164" fontId="56" fillId="0" borderId="9" xfId="0" applyNumberFormat="1" applyFont="1" applyFill="1" applyBorder="1"/>
    <xf numFmtId="164" fontId="56" fillId="0" borderId="9" xfId="3" applyFont="1" applyFill="1" applyBorder="1"/>
    <xf numFmtId="165" fontId="56" fillId="0" borderId="9" xfId="1" applyFont="1" applyFill="1" applyBorder="1"/>
    <xf numFmtId="164" fontId="56" fillId="0" borderId="23" xfId="3" applyFont="1" applyFill="1" applyBorder="1"/>
    <xf numFmtId="164" fontId="56" fillId="0" borderId="7" xfId="3" applyFont="1" applyFill="1" applyBorder="1"/>
    <xf numFmtId="164" fontId="92" fillId="0" borderId="23" xfId="3" applyFont="1" applyFill="1" applyBorder="1"/>
    <xf numFmtId="164" fontId="92" fillId="0" borderId="16" xfId="3" applyFont="1" applyFill="1" applyBorder="1"/>
    <xf numFmtId="43" fontId="12" fillId="0" borderId="0" xfId="0" applyNumberFormat="1" applyFont="1" applyFill="1"/>
    <xf numFmtId="165" fontId="91" fillId="0" borderId="9" xfId="1" applyFont="1" applyFill="1" applyBorder="1"/>
    <xf numFmtId="164" fontId="56" fillId="0" borderId="10" xfId="3" applyFont="1" applyFill="1" applyBorder="1"/>
    <xf numFmtId="0" fontId="55" fillId="0" borderId="12" xfId="0" applyFont="1" applyFill="1" applyBorder="1"/>
    <xf numFmtId="164" fontId="55" fillId="0" borderId="1" xfId="3" applyFont="1" applyFill="1" applyBorder="1"/>
    <xf numFmtId="164" fontId="55" fillId="0" borderId="13" xfId="0" applyNumberFormat="1" applyFont="1" applyFill="1" applyBorder="1"/>
    <xf numFmtId="164" fontId="55" fillId="0" borderId="13" xfId="3" applyFont="1" applyFill="1" applyBorder="1"/>
    <xf numFmtId="164" fontId="55" fillId="0" borderId="14" xfId="3" applyFont="1" applyFill="1" applyBorder="1"/>
    <xf numFmtId="165" fontId="55" fillId="0" borderId="1" xfId="1" applyFont="1" applyFill="1" applyBorder="1"/>
    <xf numFmtId="164" fontId="55" fillId="0" borderId="29" xfId="3" applyFont="1" applyFill="1" applyBorder="1"/>
    <xf numFmtId="164" fontId="55" fillId="0" borderId="11" xfId="3" applyFont="1" applyFill="1" applyBorder="1"/>
    <xf numFmtId="165" fontId="55" fillId="0" borderId="4" xfId="1" applyFont="1" applyFill="1" applyBorder="1"/>
    <xf numFmtId="165" fontId="55" fillId="0" borderId="11" xfId="1" applyFont="1" applyFill="1" applyBorder="1"/>
    <xf numFmtId="165" fontId="56" fillId="0" borderId="0" xfId="0" applyNumberFormat="1" applyFont="1" applyFill="1" applyBorder="1"/>
    <xf numFmtId="164" fontId="55" fillId="0" borderId="0" xfId="3" applyFont="1" applyFill="1" applyBorder="1"/>
    <xf numFmtId="165" fontId="56" fillId="0" borderId="0" xfId="1" applyFont="1" applyFill="1" applyBorder="1"/>
    <xf numFmtId="0" fontId="56" fillId="0" borderId="0" xfId="0" applyFont="1" applyFill="1" applyBorder="1"/>
    <xf numFmtId="165" fontId="55" fillId="0" borderId="0" xfId="1" applyFont="1" applyFill="1" applyBorder="1"/>
    <xf numFmtId="0" fontId="55" fillId="0" borderId="0" xfId="0" applyFont="1" applyFill="1"/>
    <xf numFmtId="167" fontId="88" fillId="0" borderId="0" xfId="2" applyNumberFormat="1" applyFont="1" applyFill="1" applyAlignment="1" applyProtection="1">
      <alignment horizontal="right" vertical="top"/>
      <protection locked="0"/>
    </xf>
    <xf numFmtId="43" fontId="55" fillId="0" borderId="0" xfId="82" applyFont="1" applyFill="1" applyBorder="1"/>
    <xf numFmtId="43" fontId="5" fillId="0" borderId="0" xfId="82" applyFont="1" applyFill="1" applyBorder="1"/>
    <xf numFmtId="164" fontId="55" fillId="0" borderId="0" xfId="0" applyNumberFormat="1" applyFont="1" applyFill="1"/>
    <xf numFmtId="164" fontId="55" fillId="0" borderId="0" xfId="3" applyFont="1" applyFill="1"/>
    <xf numFmtId="165" fontId="55" fillId="0" borderId="0" xfId="1" applyFont="1" applyFill="1"/>
    <xf numFmtId="4" fontId="85" fillId="0" borderId="0" xfId="0" applyNumberFormat="1" applyFont="1" applyFill="1"/>
    <xf numFmtId="165" fontId="56" fillId="0" borderId="0" xfId="0" applyNumberFormat="1" applyFont="1" applyFill="1"/>
    <xf numFmtId="4" fontId="80" fillId="0" borderId="0" xfId="85" applyNumberFormat="1" applyFont="1" applyFill="1" applyBorder="1" applyAlignment="1">
      <alignment horizontal="right"/>
    </xf>
    <xf numFmtId="43" fontId="56" fillId="0" borderId="0" xfId="0" applyNumberFormat="1" applyFont="1" applyFill="1" applyBorder="1"/>
    <xf numFmtId="4" fontId="84" fillId="0" borderId="0" xfId="0" applyNumberFormat="1" applyFont="1" applyFill="1" applyAlignment="1">
      <alignment horizontal="right"/>
    </xf>
    <xf numFmtId="43" fontId="3" fillId="0" borderId="0" xfId="82" applyFont="1" applyFill="1" applyBorder="1"/>
    <xf numFmtId="174" fontId="99" fillId="0" borderId="0" xfId="72" applyNumberFormat="1" applyFont="1" applyFill="1" applyBorder="1" applyAlignment="1">
      <alignment horizontal="right" vertical="center"/>
    </xf>
    <xf numFmtId="165" fontId="6" fillId="2" borderId="5" xfId="1" applyFont="1" applyFill="1" applyBorder="1" applyAlignment="1">
      <alignment horizontal="center"/>
    </xf>
    <xf numFmtId="0" fontId="56" fillId="0" borderId="5" xfId="0" applyFont="1" applyFill="1" applyBorder="1" applyAlignment="1" applyProtection="1">
      <alignment horizontal="left" vertical="top"/>
      <protection locked="0"/>
    </xf>
    <xf numFmtId="0" fontId="3" fillId="0" borderId="0" xfId="0" applyFont="1" applyAlignment="1">
      <alignment horizontal="left"/>
    </xf>
    <xf numFmtId="43" fontId="3" fillId="0" borderId="0" xfId="82" applyFont="1" applyAlignment="1">
      <alignment horizontal="right"/>
    </xf>
    <xf numFmtId="14" fontId="0" fillId="0" borderId="0" xfId="0" applyNumberFormat="1"/>
    <xf numFmtId="14" fontId="0" fillId="3" borderId="0" xfId="0" applyNumberFormat="1" applyFill="1"/>
    <xf numFmtId="14" fontId="0" fillId="3" borderId="0" xfId="0" applyNumberFormat="1" applyFont="1" applyFill="1"/>
    <xf numFmtId="43" fontId="2" fillId="3" borderId="0" xfId="82" applyFont="1" applyFill="1"/>
    <xf numFmtId="165" fontId="0" fillId="2" borderId="5" xfId="1" applyFont="1" applyFill="1" applyBorder="1"/>
    <xf numFmtId="0" fontId="102" fillId="40" borderId="5" xfId="118" applyFill="1" applyBorder="1"/>
    <xf numFmtId="0" fontId="102" fillId="40" borderId="5" xfId="118" applyFill="1" applyBorder="1" applyAlignment="1">
      <alignment horizontal="left"/>
    </xf>
    <xf numFmtId="0" fontId="102" fillId="0" borderId="0" xfId="118" applyAlignment="1">
      <alignment indent="1"/>
    </xf>
    <xf numFmtId="0" fontId="102" fillId="0" borderId="0" xfId="118"/>
    <xf numFmtId="14" fontId="102" fillId="0" borderId="0" xfId="118" applyNumberFormat="1" applyAlignment="1">
      <alignment horizontal="right"/>
    </xf>
    <xf numFmtId="4" fontId="102" fillId="0" borderId="0" xfId="118" applyNumberFormat="1" applyAlignment="1">
      <alignment horizontal="right"/>
    </xf>
    <xf numFmtId="0" fontId="102" fillId="0" borderId="0" xfId="118" applyAlignment="1">
      <alignment horizontal="left"/>
    </xf>
    <xf numFmtId="0" fontId="102" fillId="41" borderId="5" xfId="118" applyFill="1" applyBorder="1" applyAlignment="1">
      <alignment indent="1"/>
    </xf>
    <xf numFmtId="0" fontId="102" fillId="41" borderId="5" xfId="118" applyFill="1" applyBorder="1"/>
    <xf numFmtId="14" fontId="102" fillId="41" borderId="5" xfId="118" applyNumberFormat="1" applyFill="1" applyBorder="1" applyAlignment="1">
      <alignment horizontal="right"/>
    </xf>
    <xf numFmtId="4" fontId="102" fillId="41" borderId="5" xfId="118" applyNumberFormat="1" applyFill="1" applyBorder="1" applyAlignment="1">
      <alignment horizontal="right"/>
    </xf>
    <xf numFmtId="0" fontId="102" fillId="41" borderId="5" xfId="118" applyFill="1" applyBorder="1" applyAlignment="1">
      <alignment horizontal="left"/>
    </xf>
    <xf numFmtId="0" fontId="102" fillId="42" borderId="5" xfId="118" applyFill="1" applyBorder="1"/>
    <xf numFmtId="14" fontId="102" fillId="42" borderId="5" xfId="118" applyNumberFormat="1" applyFill="1" applyBorder="1" applyAlignment="1">
      <alignment horizontal="right"/>
    </xf>
    <xf numFmtId="0" fontId="102" fillId="42" borderId="5" xfId="118" applyFill="1" applyBorder="1" applyAlignment="1">
      <alignment horizontal="left"/>
    </xf>
    <xf numFmtId="0" fontId="94" fillId="0" borderId="9" xfId="0" applyNumberFormat="1" applyFont="1" applyBorder="1" applyAlignment="1">
      <alignment wrapText="1"/>
    </xf>
    <xf numFmtId="0" fontId="0" fillId="40" borderId="5" xfId="0" applyFill="1" applyBorder="1"/>
    <xf numFmtId="0" fontId="0" fillId="40" borderId="5" xfId="0" applyFill="1" applyBorder="1" applyAlignment="1">
      <alignment horizontal="left"/>
    </xf>
    <xf numFmtId="0" fontId="0" fillId="0" borderId="0" xfId="0" applyAlignment="1">
      <alignment indent="1"/>
    </xf>
    <xf numFmtId="14" fontId="0" fillId="0" borderId="0" xfId="0" applyNumberFormat="1" applyAlignment="1">
      <alignment horizontal="right"/>
    </xf>
    <xf numFmtId="4" fontId="0" fillId="0" borderId="0" xfId="0" applyNumberFormat="1" applyAlignment="1">
      <alignment horizontal="right"/>
    </xf>
    <xf numFmtId="0" fontId="0" fillId="0" borderId="0" xfId="0" applyAlignment="1">
      <alignment horizontal="left"/>
    </xf>
    <xf numFmtId="4" fontId="0" fillId="2" borderId="0" xfId="0" applyNumberFormat="1" applyFill="1" applyAlignment="1">
      <alignment horizontal="right"/>
    </xf>
    <xf numFmtId="0" fontId="0" fillId="2" borderId="0" xfId="0" applyFill="1" applyAlignment="1">
      <alignment horizontal="left"/>
    </xf>
    <xf numFmtId="0" fontId="0" fillId="41" borderId="0" xfId="0" applyFill="1" applyBorder="1" applyAlignment="1">
      <alignment indent="1"/>
    </xf>
    <xf numFmtId="4" fontId="0" fillId="0" borderId="0" xfId="0" applyNumberFormat="1"/>
    <xf numFmtId="15" fontId="55" fillId="2" borderId="0" xfId="0" applyNumberFormat="1" applyFont="1" applyFill="1" applyAlignment="1">
      <alignment horizontal="left" vertical="center"/>
    </xf>
    <xf numFmtId="0" fontId="93" fillId="0" borderId="0" xfId="0" applyFont="1"/>
    <xf numFmtId="0" fontId="94" fillId="0" borderId="5" xfId="0" applyFont="1" applyBorder="1"/>
    <xf numFmtId="0" fontId="94" fillId="2" borderId="5" xfId="0" applyFont="1" applyFill="1" applyBorder="1"/>
    <xf numFmtId="0" fontId="94" fillId="0" borderId="9" xfId="0" applyFont="1" applyBorder="1"/>
    <xf numFmtId="0" fontId="94" fillId="0" borderId="5" xfId="0" applyFont="1" applyBorder="1" applyAlignment="1">
      <alignment wrapText="1"/>
    </xf>
    <xf numFmtId="164" fontId="55" fillId="39" borderId="5" xfId="3" applyFont="1" applyFill="1" applyBorder="1" applyAlignment="1">
      <alignment horizontal="right" vertical="top" wrapText="1"/>
    </xf>
    <xf numFmtId="165" fontId="0" fillId="3" borderId="0" xfId="1" applyFont="1" applyFill="1"/>
    <xf numFmtId="43" fontId="5" fillId="0" borderId="0" xfId="82" applyFont="1" applyBorder="1"/>
    <xf numFmtId="165" fontId="92" fillId="3" borderId="5" xfId="1" applyFont="1" applyFill="1" applyBorder="1"/>
    <xf numFmtId="0" fontId="0" fillId="0" borderId="0" xfId="0"/>
    <xf numFmtId="165" fontId="3" fillId="0" borderId="0" xfId="1" applyFont="1"/>
    <xf numFmtId="165" fontId="0" fillId="0" borderId="5" xfId="1" applyFont="1" applyBorder="1"/>
    <xf numFmtId="165" fontId="0" fillId="3" borderId="5" xfId="1" applyFont="1" applyFill="1" applyBorder="1"/>
    <xf numFmtId="173" fontId="103" fillId="0" borderId="43" xfId="102" applyNumberFormat="1" applyFont="1" applyFill="1" applyBorder="1" applyAlignment="1">
      <alignment horizontal="left" vertical="center"/>
    </xf>
    <xf numFmtId="0" fontId="80" fillId="40" borderId="5" xfId="121" applyFont="1" applyFill="1" applyBorder="1"/>
    <xf numFmtId="0" fontId="80" fillId="0" borderId="0" xfId="121" applyFont="1" applyAlignment="1">
      <alignment indent="1"/>
    </xf>
    <xf numFmtId="0" fontId="80" fillId="0" borderId="0" xfId="121" applyFont="1"/>
    <xf numFmtId="14" fontId="80" fillId="0" borderId="0" xfId="121" applyNumberFormat="1" applyFont="1" applyAlignment="1">
      <alignment horizontal="right"/>
    </xf>
    <xf numFmtId="4" fontId="80" fillId="0" borderId="0" xfId="121" applyNumberFormat="1" applyFont="1" applyAlignment="1">
      <alignment horizontal="right"/>
    </xf>
    <xf numFmtId="0" fontId="80" fillId="41" borderId="5" xfId="121" applyFont="1" applyFill="1" applyBorder="1" applyAlignment="1">
      <alignment indent="1"/>
    </xf>
    <xf numFmtId="0" fontId="80" fillId="41" borderId="5" xfId="121" applyFont="1" applyFill="1" applyBorder="1"/>
    <xf numFmtId="14" fontId="80" fillId="41" borderId="5" xfId="121" applyNumberFormat="1" applyFont="1" applyFill="1" applyBorder="1" applyAlignment="1">
      <alignment horizontal="right"/>
    </xf>
    <xf numFmtId="4" fontId="80" fillId="41" borderId="5" xfId="121" applyNumberFormat="1" applyFont="1" applyFill="1" applyBorder="1" applyAlignment="1">
      <alignment horizontal="right"/>
    </xf>
    <xf numFmtId="0" fontId="80" fillId="42" borderId="5" xfId="121" applyFont="1" applyFill="1" applyBorder="1"/>
    <xf numFmtId="14" fontId="80" fillId="42" borderId="5" xfId="121" applyNumberFormat="1" applyFont="1" applyFill="1" applyBorder="1" applyAlignment="1">
      <alignment horizontal="right"/>
    </xf>
    <xf numFmtId="4" fontId="80" fillId="42" borderId="5" xfId="121" applyNumberFormat="1" applyFont="1" applyFill="1" applyBorder="1" applyAlignment="1">
      <alignment horizontal="right"/>
    </xf>
    <xf numFmtId="0" fontId="80" fillId="40" borderId="5" xfId="121" applyFont="1" applyFill="1" applyBorder="1" applyAlignment="1">
      <alignment horizontal="left"/>
    </xf>
    <xf numFmtId="0" fontId="80" fillId="0" borderId="0" xfId="121" applyFont="1" applyAlignment="1">
      <alignment horizontal="left"/>
    </xf>
    <xf numFmtId="0" fontId="80" fillId="41" borderId="5" xfId="121" applyFont="1" applyFill="1" applyBorder="1" applyAlignment="1">
      <alignment horizontal="left"/>
    </xf>
    <xf numFmtId="0" fontId="80" fillId="42" borderId="5" xfId="121" applyFont="1" applyFill="1" applyBorder="1" applyAlignment="1">
      <alignment horizontal="left"/>
    </xf>
    <xf numFmtId="0" fontId="104" fillId="0" borderId="0" xfId="121" applyFont="1"/>
    <xf numFmtId="164" fontId="0" fillId="0" borderId="0" xfId="119" applyFont="1"/>
    <xf numFmtId="164" fontId="3" fillId="0" borderId="0" xfId="119" applyFont="1"/>
    <xf numFmtId="164" fontId="0" fillId="0" borderId="5" xfId="119" applyFont="1" applyBorder="1"/>
    <xf numFmtId="164" fontId="0" fillId="3" borderId="5" xfId="119" applyFont="1" applyFill="1" applyBorder="1"/>
    <xf numFmtId="164" fontId="56" fillId="0" borderId="0" xfId="119" applyFont="1"/>
    <xf numFmtId="43" fontId="56" fillId="2" borderId="0" xfId="96" applyFont="1" applyFill="1" applyBorder="1"/>
    <xf numFmtId="164" fontId="97" fillId="0" borderId="0" xfId="119" applyFont="1" applyBorder="1" applyAlignment="1">
      <alignment horizontal="right"/>
    </xf>
    <xf numFmtId="164" fontId="98" fillId="0" borderId="0" xfId="119" applyFont="1" applyBorder="1" applyAlignment="1">
      <alignment horizontal="right"/>
    </xf>
    <xf numFmtId="43" fontId="98" fillId="0" borderId="0" xfId="82" applyFont="1" applyBorder="1" applyAlignment="1">
      <alignment horizontal="right"/>
    </xf>
    <xf numFmtId="164" fontId="97" fillId="0" borderId="5" xfId="119" applyFont="1" applyBorder="1" applyAlignment="1">
      <alignment horizontal="right"/>
    </xf>
    <xf numFmtId="164" fontId="56" fillId="2" borderId="8" xfId="119" applyFont="1" applyFill="1" applyBorder="1"/>
    <xf numFmtId="164" fontId="56" fillId="0" borderId="5" xfId="119" applyFont="1" applyBorder="1"/>
    <xf numFmtId="43" fontId="97" fillId="0" borderId="8" xfId="82" applyFont="1" applyBorder="1" applyAlignment="1">
      <alignment horizontal="right"/>
    </xf>
    <xf numFmtId="164" fontId="97" fillId="0" borderId="8" xfId="119" applyFont="1" applyBorder="1" applyAlignment="1">
      <alignment horizontal="right"/>
    </xf>
    <xf numFmtId="164" fontId="56" fillId="2" borderId="5" xfId="119" applyFont="1" applyFill="1" applyBorder="1" applyAlignment="1">
      <alignment horizontal="right"/>
    </xf>
    <xf numFmtId="164" fontId="97" fillId="2" borderId="5" xfId="119" applyFont="1" applyFill="1" applyBorder="1" applyAlignment="1">
      <alignment horizontal="right"/>
    </xf>
    <xf numFmtId="164" fontId="97" fillId="2" borderId="8" xfId="119" applyFont="1" applyFill="1" applyBorder="1" applyAlignment="1">
      <alignment horizontal="right"/>
    </xf>
    <xf numFmtId="43" fontId="97" fillId="2" borderId="8" xfId="82" applyFont="1" applyFill="1" applyBorder="1" applyAlignment="1">
      <alignment horizontal="right"/>
    </xf>
    <xf numFmtId="164" fontId="56" fillId="0" borderId="8" xfId="119" applyFont="1" applyBorder="1"/>
    <xf numFmtId="43" fontId="56" fillId="0" borderId="8" xfId="82" applyFont="1" applyBorder="1"/>
    <xf numFmtId="164" fontId="56" fillId="2" borderId="5" xfId="119" applyFont="1" applyFill="1" applyBorder="1"/>
    <xf numFmtId="43" fontId="92" fillId="2" borderId="8" xfId="82" applyFont="1" applyFill="1" applyBorder="1"/>
    <xf numFmtId="164" fontId="55" fillId="2" borderId="8" xfId="119" applyFont="1" applyFill="1" applyBorder="1"/>
    <xf numFmtId="43" fontId="55" fillId="2" borderId="8" xfId="82" applyFont="1" applyFill="1" applyBorder="1"/>
    <xf numFmtId="164" fontId="92" fillId="2" borderId="8" xfId="119" applyFont="1" applyFill="1" applyBorder="1"/>
    <xf numFmtId="164" fontId="56" fillId="2" borderId="10" xfId="119" applyFont="1" applyFill="1" applyBorder="1"/>
    <xf numFmtId="43" fontId="56" fillId="2" borderId="10" xfId="82" applyFont="1" applyFill="1" applyBorder="1"/>
    <xf numFmtId="164" fontId="56" fillId="0" borderId="10" xfId="119" applyFont="1" applyBorder="1"/>
    <xf numFmtId="43" fontId="56" fillId="0" borderId="10" xfId="82" applyFont="1" applyBorder="1"/>
    <xf numFmtId="0" fontId="94" fillId="2" borderId="9" xfId="0" applyFont="1" applyFill="1" applyBorder="1"/>
    <xf numFmtId="164" fontId="56" fillId="2" borderId="9" xfId="119" applyFont="1" applyFill="1" applyBorder="1"/>
    <xf numFmtId="164" fontId="97" fillId="2" borderId="10" xfId="119" applyFont="1" applyFill="1" applyBorder="1" applyAlignment="1">
      <alignment horizontal="right"/>
    </xf>
    <xf numFmtId="164" fontId="97" fillId="0" borderId="9" xfId="119" applyFont="1" applyBorder="1" applyAlignment="1">
      <alignment horizontal="right"/>
    </xf>
    <xf numFmtId="164" fontId="56" fillId="0" borderId="9" xfId="119" applyFont="1" applyBorder="1"/>
    <xf numFmtId="164" fontId="55" fillId="0" borderId="1" xfId="119" applyFont="1" applyBorder="1"/>
    <xf numFmtId="43" fontId="55" fillId="0" borderId="1" xfId="82" applyFont="1" applyBorder="1"/>
    <xf numFmtId="43" fontId="56" fillId="0" borderId="0" xfId="82" applyFont="1" applyBorder="1"/>
    <xf numFmtId="164" fontId="55" fillId="2" borderId="0" xfId="119" applyFont="1" applyFill="1" applyBorder="1"/>
    <xf numFmtId="0" fontId="105" fillId="0" borderId="0" xfId="0" applyFont="1"/>
    <xf numFmtId="43" fontId="0" fillId="2" borderId="0" xfId="96" applyFont="1" applyFill="1" applyBorder="1"/>
    <xf numFmtId="15" fontId="3" fillId="2" borderId="0" xfId="0" applyNumberFormat="1" applyFont="1" applyFill="1" applyAlignment="1">
      <alignment horizontal="left" vertical="center"/>
    </xf>
    <xf numFmtId="164" fontId="106" fillId="0" borderId="0" xfId="119" applyFont="1" applyBorder="1" applyAlignment="1">
      <alignment horizontal="right"/>
    </xf>
    <xf numFmtId="0" fontId="107" fillId="0" borderId="0" xfId="0" applyFont="1"/>
    <xf numFmtId="164" fontId="107" fillId="0" borderId="0" xfId="119" applyFont="1" applyBorder="1" applyAlignment="1">
      <alignment horizontal="right"/>
    </xf>
    <xf numFmtId="43" fontId="107" fillId="0" borderId="0" xfId="82" applyFont="1" applyBorder="1" applyAlignment="1">
      <alignment horizontal="right"/>
    </xf>
    <xf numFmtId="164" fontId="108" fillId="0" borderId="0" xfId="119" applyFont="1" applyFill="1" applyBorder="1" applyAlignment="1">
      <alignment horizontal="left"/>
    </xf>
    <xf numFmtId="0" fontId="106" fillId="0" borderId="5" xfId="0" applyFont="1" applyBorder="1"/>
    <xf numFmtId="164" fontId="106" fillId="0" borderId="5" xfId="119" applyFont="1" applyBorder="1" applyAlignment="1">
      <alignment horizontal="right"/>
    </xf>
    <xf numFmtId="164" fontId="0" fillId="2" borderId="8" xfId="119" applyFont="1" applyFill="1" applyBorder="1"/>
    <xf numFmtId="43" fontId="0" fillId="2" borderId="8" xfId="82" applyFont="1" applyFill="1" applyBorder="1"/>
    <xf numFmtId="43" fontId="106" fillId="0" borderId="8" xfId="82" applyFont="1" applyBorder="1" applyAlignment="1">
      <alignment horizontal="right"/>
    </xf>
    <xf numFmtId="0" fontId="105" fillId="0" borderId="5" xfId="0" applyFont="1" applyBorder="1"/>
    <xf numFmtId="164" fontId="0" fillId="2" borderId="5" xfId="119" applyFont="1" applyFill="1" applyBorder="1"/>
    <xf numFmtId="164" fontId="106" fillId="0" borderId="8" xfId="119" applyFont="1" applyBorder="1" applyAlignment="1">
      <alignment horizontal="right"/>
    </xf>
    <xf numFmtId="0" fontId="109" fillId="0" borderId="0" xfId="0" applyFont="1"/>
    <xf numFmtId="43" fontId="107" fillId="0" borderId="8" xfId="82" applyFont="1" applyBorder="1" applyAlignment="1">
      <alignment horizontal="right"/>
    </xf>
    <xf numFmtId="164" fontId="105" fillId="0" borderId="5" xfId="0" applyNumberFormat="1" applyFont="1" applyBorder="1"/>
    <xf numFmtId="0" fontId="105" fillId="0" borderId="5" xfId="0" applyFont="1" applyBorder="1" applyAlignment="1">
      <alignment wrapText="1"/>
    </xf>
    <xf numFmtId="164" fontId="0" fillId="0" borderId="8" xfId="3" applyFont="1" applyFill="1" applyBorder="1"/>
    <xf numFmtId="164" fontId="0" fillId="0" borderId="8" xfId="119" applyFont="1" applyBorder="1"/>
    <xf numFmtId="43" fontId="0" fillId="0" borderId="8" xfId="82" applyFont="1" applyBorder="1"/>
    <xf numFmtId="164" fontId="106" fillId="2" borderId="5" xfId="119" applyFont="1" applyFill="1" applyBorder="1" applyAlignment="1">
      <alignment horizontal="right"/>
    </xf>
    <xf numFmtId="164" fontId="106" fillId="2" borderId="8" xfId="119" applyFont="1" applyFill="1" applyBorder="1" applyAlignment="1">
      <alignment horizontal="right"/>
    </xf>
    <xf numFmtId="43" fontId="106" fillId="2" borderId="8" xfId="82" applyFont="1" applyFill="1" applyBorder="1" applyAlignment="1">
      <alignment horizontal="right"/>
    </xf>
    <xf numFmtId="164" fontId="12" fillId="2" borderId="8" xfId="119" applyFont="1" applyFill="1" applyBorder="1" applyAlignment="1">
      <alignment vertical="center"/>
    </xf>
    <xf numFmtId="173" fontId="12" fillId="2" borderId="8" xfId="0" applyNumberFormat="1" applyFont="1" applyFill="1" applyBorder="1" applyAlignment="1">
      <alignment vertical="center"/>
    </xf>
    <xf numFmtId="43" fontId="106" fillId="2" borderId="5" xfId="82" applyFont="1" applyFill="1" applyBorder="1" applyAlignment="1">
      <alignment horizontal="right"/>
    </xf>
    <xf numFmtId="164" fontId="0" fillId="0" borderId="5" xfId="3" applyFont="1" applyFill="1" applyBorder="1"/>
    <xf numFmtId="43" fontId="12" fillId="2" borderId="8" xfId="82" applyFont="1" applyFill="1" applyBorder="1"/>
    <xf numFmtId="164" fontId="3" fillId="2" borderId="8" xfId="119" applyFont="1" applyFill="1" applyBorder="1"/>
    <xf numFmtId="43" fontId="3" fillId="2" borderId="8" xfId="82" applyFont="1" applyFill="1" applyBorder="1"/>
    <xf numFmtId="0" fontId="106" fillId="2" borderId="5" xfId="0" applyFont="1" applyFill="1" applyBorder="1"/>
    <xf numFmtId="164" fontId="0" fillId="2" borderId="5" xfId="119" applyFont="1" applyFill="1" applyBorder="1" applyAlignment="1">
      <alignment horizontal="right"/>
    </xf>
    <xf numFmtId="164" fontId="12" fillId="2" borderId="8" xfId="119" applyFont="1" applyFill="1" applyBorder="1"/>
    <xf numFmtId="43" fontId="106" fillId="0" borderId="5" xfId="82" applyFont="1" applyBorder="1" applyAlignment="1">
      <alignment horizontal="right"/>
    </xf>
    <xf numFmtId="164" fontId="106" fillId="2" borderId="15" xfId="119" applyFont="1" applyFill="1" applyBorder="1" applyAlignment="1">
      <alignment horizontal="right"/>
    </xf>
    <xf numFmtId="43" fontId="106" fillId="2" borderId="15" xfId="82" applyFont="1" applyFill="1" applyBorder="1" applyAlignment="1">
      <alignment horizontal="right"/>
    </xf>
    <xf numFmtId="164" fontId="12" fillId="2" borderId="8" xfId="3" applyFont="1" applyFill="1" applyBorder="1"/>
    <xf numFmtId="164" fontId="0" fillId="2" borderId="10" xfId="119" applyFont="1" applyFill="1" applyBorder="1"/>
    <xf numFmtId="43" fontId="0" fillId="2" borderId="10" xfId="82" applyFont="1" applyFill="1" applyBorder="1"/>
    <xf numFmtId="164" fontId="0" fillId="0" borderId="10" xfId="119" applyFont="1" applyBorder="1"/>
    <xf numFmtId="43" fontId="0" fillId="0" borderId="10" xfId="82" applyFont="1" applyBorder="1"/>
    <xf numFmtId="0" fontId="106" fillId="0" borderId="9" xfId="0" applyFont="1" applyBorder="1"/>
    <xf numFmtId="0" fontId="106" fillId="0" borderId="5" xfId="0" applyFont="1" applyBorder="1" applyAlignment="1">
      <alignment wrapText="1"/>
    </xf>
    <xf numFmtId="0" fontId="106" fillId="2" borderId="9" xfId="0" applyFont="1" applyFill="1" applyBorder="1"/>
    <xf numFmtId="164" fontId="0" fillId="2" borderId="9" xfId="119" applyFont="1" applyFill="1" applyBorder="1"/>
    <xf numFmtId="164" fontId="106" fillId="2" borderId="10" xfId="119" applyFont="1" applyFill="1" applyBorder="1" applyAlignment="1">
      <alignment horizontal="right"/>
    </xf>
    <xf numFmtId="164" fontId="0" fillId="2" borderId="10" xfId="3" applyFont="1" applyFill="1" applyBorder="1"/>
    <xf numFmtId="164" fontId="106" fillId="0" borderId="9" xfId="119" applyFont="1" applyBorder="1" applyAlignment="1">
      <alignment horizontal="right"/>
    </xf>
    <xf numFmtId="164" fontId="0" fillId="0" borderId="9" xfId="119" applyFont="1" applyBorder="1"/>
    <xf numFmtId="43" fontId="0" fillId="0" borderId="9" xfId="82" applyFont="1" applyBorder="1"/>
    <xf numFmtId="0" fontId="3" fillId="0" borderId="11" xfId="0" applyFont="1" applyBorder="1"/>
    <xf numFmtId="164" fontId="3" fillId="0" borderId="1" xfId="119" applyFont="1" applyBorder="1"/>
    <xf numFmtId="43" fontId="3" fillId="0" borderId="1" xfId="82" applyFont="1" applyBorder="1"/>
    <xf numFmtId="164" fontId="3" fillId="0" borderId="2" xfId="3" applyFont="1" applyFill="1" applyBorder="1"/>
    <xf numFmtId="164" fontId="3" fillId="0" borderId="0" xfId="3" applyFont="1" applyFill="1" applyBorder="1"/>
    <xf numFmtId="164" fontId="3" fillId="2" borderId="0" xfId="119" applyFont="1" applyFill="1" applyBorder="1"/>
    <xf numFmtId="164" fontId="0" fillId="3" borderId="0" xfId="119" applyFont="1" applyFill="1"/>
    <xf numFmtId="43" fontId="106" fillId="3" borderId="8" xfId="82" applyFont="1" applyFill="1" applyBorder="1" applyAlignment="1">
      <alignment horizontal="right"/>
    </xf>
    <xf numFmtId="0" fontId="105" fillId="3" borderId="5" xfId="0" applyFont="1" applyFill="1" applyBorder="1"/>
    <xf numFmtId="43" fontId="97" fillId="0" borderId="9" xfId="82" applyFont="1" applyBorder="1" applyAlignment="1">
      <alignment horizontal="right"/>
    </xf>
    <xf numFmtId="14" fontId="3" fillId="0" borderId="0" xfId="0" applyNumberFormat="1" applyFont="1"/>
    <xf numFmtId="0" fontId="3" fillId="3" borderId="0" xfId="0" applyFont="1" applyFill="1"/>
    <xf numFmtId="14" fontId="3" fillId="3" borderId="0" xfId="0" applyNumberFormat="1" applyFont="1" applyFill="1"/>
    <xf numFmtId="164" fontId="3" fillId="3" borderId="0" xfId="119" applyFont="1" applyFill="1"/>
    <xf numFmtId="0" fontId="0" fillId="0" borderId="0" xfId="0" applyAlignment="1">
      <alignment wrapText="1"/>
    </xf>
    <xf numFmtId="175" fontId="0" fillId="0" borderId="0" xfId="1" applyNumberFormat="1" applyFont="1" applyAlignment="1">
      <alignment wrapText="1"/>
    </xf>
    <xf numFmtId="0" fontId="110" fillId="0" borderId="0" xfId="0" applyFont="1"/>
    <xf numFmtId="175" fontId="0" fillId="0" borderId="5" xfId="1" applyNumberFormat="1" applyFont="1" applyBorder="1" applyAlignment="1">
      <alignment wrapText="1"/>
    </xf>
    <xf numFmtId="175" fontId="0" fillId="0" borderId="5" xfId="0" applyNumberFormat="1" applyBorder="1" applyAlignment="1">
      <alignment wrapText="1"/>
    </xf>
    <xf numFmtId="175" fontId="3" fillId="0" borderId="5" xfId="1" applyNumberFormat="1" applyFont="1" applyBorder="1" applyAlignment="1">
      <alignment horizontal="center" wrapText="1"/>
    </xf>
    <xf numFmtId="0" fontId="3" fillId="0" borderId="5" xfId="0" applyFont="1" applyBorder="1" applyAlignment="1">
      <alignment horizontal="center" wrapText="1"/>
    </xf>
    <xf numFmtId="0" fontId="92" fillId="0" borderId="16" xfId="0" applyFont="1" applyFill="1" applyBorder="1" applyAlignment="1" applyProtection="1">
      <alignment horizontal="left" vertical="top"/>
      <protection locked="0"/>
    </xf>
    <xf numFmtId="0" fontId="17" fillId="0" borderId="0" xfId="0" applyFont="1" applyAlignment="1">
      <alignment horizontal="left"/>
    </xf>
    <xf numFmtId="165" fontId="6" fillId="2" borderId="5" xfId="1" applyFont="1" applyFill="1" applyBorder="1" applyAlignment="1">
      <alignment horizontal="center"/>
    </xf>
    <xf numFmtId="0" fontId="18" fillId="0" borderId="0" xfId="0" applyFont="1" applyAlignment="1">
      <alignment horizontal="left"/>
    </xf>
    <xf numFmtId="0" fontId="5" fillId="0" borderId="0" xfId="0" applyFont="1" applyAlignment="1">
      <alignment horizontal="left"/>
    </xf>
    <xf numFmtId="0" fontId="44" fillId="0" borderId="0" xfId="0" applyFont="1" applyAlignment="1">
      <alignment horizontal="left"/>
    </xf>
    <xf numFmtId="0" fontId="44" fillId="0" borderId="27" xfId="0" applyFont="1" applyBorder="1" applyAlignment="1">
      <alignment horizontal="left"/>
    </xf>
    <xf numFmtId="0" fontId="17" fillId="0" borderId="27" xfId="0" applyFont="1" applyBorder="1" applyAlignment="1">
      <alignment horizontal="left"/>
    </xf>
    <xf numFmtId="0" fontId="55" fillId="2" borderId="0" xfId="0" applyFont="1" applyFill="1" applyAlignment="1">
      <alignment horizontal="left"/>
    </xf>
    <xf numFmtId="0" fontId="55" fillId="2" borderId="27" xfId="0" applyFont="1" applyFill="1" applyBorder="1" applyAlignment="1">
      <alignment horizontal="left"/>
    </xf>
    <xf numFmtId="0" fontId="55" fillId="0" borderId="0" xfId="0" applyFont="1" applyFill="1" applyAlignment="1">
      <alignment horizontal="left"/>
    </xf>
    <xf numFmtId="0" fontId="55" fillId="0" borderId="27" xfId="0" applyFont="1" applyFill="1" applyBorder="1" applyAlignment="1">
      <alignment horizontal="left"/>
    </xf>
  </cellXfs>
  <cellStyles count="122">
    <cellStyle name="20% - Accent1" xfId="31" builtinId="30" customBuiltin="1"/>
    <cellStyle name="20% - Accent1 2" xfId="60" xr:uid="{00000000-0005-0000-0000-000001000000}"/>
    <cellStyle name="20% - Accent2" xfId="35" builtinId="34" customBuiltin="1"/>
    <cellStyle name="20% - Accent2 2" xfId="62" xr:uid="{00000000-0005-0000-0000-000003000000}"/>
    <cellStyle name="20% - Accent3" xfId="39" builtinId="38" customBuiltin="1"/>
    <cellStyle name="20% - Accent3 2" xfId="64" xr:uid="{00000000-0005-0000-0000-000005000000}"/>
    <cellStyle name="20% - Accent4" xfId="43" builtinId="42" customBuiltin="1"/>
    <cellStyle name="20% - Accent4 2" xfId="66" xr:uid="{00000000-0005-0000-0000-000007000000}"/>
    <cellStyle name="20% - Accent5" xfId="47" builtinId="46" customBuiltin="1"/>
    <cellStyle name="20% - Accent5 2" xfId="68" xr:uid="{00000000-0005-0000-0000-000009000000}"/>
    <cellStyle name="20% - Accent6" xfId="51" builtinId="50" customBuiltin="1"/>
    <cellStyle name="20% - Accent6 2" xfId="70" xr:uid="{00000000-0005-0000-0000-00000B000000}"/>
    <cellStyle name="40% - Accent1" xfId="32" builtinId="31" customBuiltin="1"/>
    <cellStyle name="40% - Accent1 2" xfId="61" xr:uid="{00000000-0005-0000-0000-00000D000000}"/>
    <cellStyle name="40% - Accent2" xfId="36" builtinId="35" customBuiltin="1"/>
    <cellStyle name="40% - Accent2 2" xfId="63" xr:uid="{00000000-0005-0000-0000-00000F000000}"/>
    <cellStyle name="40% - Accent3" xfId="40" builtinId="39" customBuiltin="1"/>
    <cellStyle name="40% - Accent3 2" xfId="65" xr:uid="{00000000-0005-0000-0000-000011000000}"/>
    <cellStyle name="40% - Accent4" xfId="44" builtinId="43" customBuiltin="1"/>
    <cellStyle name="40% - Accent4 2" xfId="67" xr:uid="{00000000-0005-0000-0000-000013000000}"/>
    <cellStyle name="40% - Accent5" xfId="48" builtinId="47" customBuiltin="1"/>
    <cellStyle name="40% - Accent5 2" xfId="69" xr:uid="{00000000-0005-0000-0000-000015000000}"/>
    <cellStyle name="40% - Accent6" xfId="52" builtinId="51" customBuiltin="1"/>
    <cellStyle name="40% - Accent6 2" xfId="71" xr:uid="{00000000-0005-0000-0000-000017000000}"/>
    <cellStyle name="60% - Accent1" xfId="33" builtinId="32" customBuiltin="1"/>
    <cellStyle name="60% - Accent1 2" xfId="88" xr:uid="{00000000-0005-0000-0000-000019000000}"/>
    <cellStyle name="60% - Accent2" xfId="37" builtinId="36" customBuiltin="1"/>
    <cellStyle name="60% - Accent2 2" xfId="89" xr:uid="{00000000-0005-0000-0000-00001B000000}"/>
    <cellStyle name="60% - Accent3" xfId="41" builtinId="40" customBuiltin="1"/>
    <cellStyle name="60% - Accent3 2" xfId="90" xr:uid="{00000000-0005-0000-0000-00001D000000}"/>
    <cellStyle name="60% - Accent4" xfId="45" builtinId="44" customBuiltin="1"/>
    <cellStyle name="60% - Accent4 2" xfId="91" xr:uid="{00000000-0005-0000-0000-00001F000000}"/>
    <cellStyle name="60% - Accent5" xfId="49" builtinId="48" customBuiltin="1"/>
    <cellStyle name="60% - Accent5 2" xfId="92" xr:uid="{00000000-0005-0000-0000-000021000000}"/>
    <cellStyle name="60% - Accent6" xfId="53" builtinId="52" customBuiltin="1"/>
    <cellStyle name="60% - Accent6 2" xfId="93" xr:uid="{00000000-0005-0000-0000-000023000000}"/>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1" builtinId="3"/>
    <cellStyle name="Comma 2" xfId="3" xr:uid="{00000000-0005-0000-0000-00002E000000}"/>
    <cellStyle name="Comma 2 2" xfId="8" xr:uid="{00000000-0005-0000-0000-00002F000000}"/>
    <cellStyle name="Comma 2 2 2" xfId="81" xr:uid="{00000000-0005-0000-0000-000030000000}"/>
    <cellStyle name="Comma 2 3" xfId="75" xr:uid="{00000000-0005-0000-0000-000031000000}"/>
    <cellStyle name="Comma 2 3 2" xfId="102" xr:uid="{00000000-0005-0000-0000-000032000000}"/>
    <cellStyle name="Comma 2 4" xfId="99" xr:uid="{00000000-0005-0000-0000-000033000000}"/>
    <cellStyle name="Comma 2 4 2" xfId="115" xr:uid="{00000000-0005-0000-0000-000034000000}"/>
    <cellStyle name="Comma 2 5" xfId="120" xr:uid="{66CBC440-1FA0-408B-91C4-B56352721995}"/>
    <cellStyle name="Comma 3" xfId="4" xr:uid="{00000000-0005-0000-0000-000035000000}"/>
    <cellStyle name="Comma 3 2" xfId="82" xr:uid="{00000000-0005-0000-0000-000036000000}"/>
    <cellStyle name="Comma 3 2 2" xfId="95" xr:uid="{00000000-0005-0000-0000-000037000000}"/>
    <cellStyle name="Comma 3 2 2 2" xfId="112" xr:uid="{00000000-0005-0000-0000-000038000000}"/>
    <cellStyle name="Comma 3 2 3" xfId="100" xr:uid="{00000000-0005-0000-0000-000039000000}"/>
    <cellStyle name="Comma 3 2 3 2" xfId="116" xr:uid="{00000000-0005-0000-0000-00003A000000}"/>
    <cellStyle name="Comma 3 2 4" xfId="108" xr:uid="{00000000-0005-0000-0000-00003B000000}"/>
    <cellStyle name="Comma 3 2 5" xfId="119" xr:uid="{AECC9157-0150-4241-A533-343EA9256F48}"/>
    <cellStyle name="Comma 4" xfId="83" xr:uid="{00000000-0005-0000-0000-00003C000000}"/>
    <cellStyle name="Comma 4 2" xfId="109" xr:uid="{00000000-0005-0000-0000-00003D000000}"/>
    <cellStyle name="Comma 5" xfId="94" xr:uid="{00000000-0005-0000-0000-00003E000000}"/>
    <cellStyle name="Comma 5 2" xfId="103" xr:uid="{00000000-0005-0000-0000-00003F000000}"/>
    <cellStyle name="Comma 5 3" xfId="111" xr:uid="{00000000-0005-0000-0000-000040000000}"/>
    <cellStyle name="Comma 6" xfId="96" xr:uid="{00000000-0005-0000-0000-000041000000}"/>
    <cellStyle name="Comma 6 2" xfId="113" xr:uid="{00000000-0005-0000-0000-000042000000}"/>
    <cellStyle name="Comma 7" xfId="97" xr:uid="{00000000-0005-0000-0000-000043000000}"/>
    <cellStyle name="Comma 8" xfId="98" xr:uid="{00000000-0005-0000-0000-000044000000}"/>
    <cellStyle name="Comma 8 2" xfId="114" xr:uid="{00000000-0005-0000-0000-000045000000}"/>
    <cellStyle name="Comma 9" xfId="101" xr:uid="{00000000-0005-0000-0000-000046000000}"/>
    <cellStyle name="Comma 9 2" xfId="117" xr:uid="{00000000-0005-0000-0000-000047000000}"/>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1" builtinId="20" customBuiltin="1"/>
    <cellStyle name="Linked Cell" xfId="24" builtinId="24" customBuiltin="1"/>
    <cellStyle name="Neutral" xfId="20" builtinId="28" customBuiltin="1"/>
    <cellStyle name="Neutral 2" xfId="87" xr:uid="{00000000-0005-0000-0000-000051000000}"/>
    <cellStyle name="Normal" xfId="0" builtinId="0"/>
    <cellStyle name="Normal 2" xfId="2" xr:uid="{00000000-0005-0000-0000-000053000000}"/>
    <cellStyle name="Normal 2 2" xfId="5" xr:uid="{00000000-0005-0000-0000-000054000000}"/>
    <cellStyle name="Normal 2 2 2" xfId="72" xr:uid="{00000000-0005-0000-0000-000055000000}"/>
    <cellStyle name="Normal 2 2 3" xfId="55" xr:uid="{00000000-0005-0000-0000-000056000000}"/>
    <cellStyle name="Normal 2 3" xfId="6" xr:uid="{00000000-0005-0000-0000-000057000000}"/>
    <cellStyle name="Normal 2 4" xfId="12" xr:uid="{00000000-0005-0000-0000-000058000000}"/>
    <cellStyle name="Normal 2 4 2" xfId="104" xr:uid="{00000000-0005-0000-0000-000059000000}"/>
    <cellStyle name="Normal 2 5" xfId="73" xr:uid="{00000000-0005-0000-0000-00005A000000}"/>
    <cellStyle name="Normal 2 5 2" xfId="105" xr:uid="{00000000-0005-0000-0000-00005B000000}"/>
    <cellStyle name="Normal 2 6" xfId="74" xr:uid="{00000000-0005-0000-0000-00005C000000}"/>
    <cellStyle name="Normal 2 7" xfId="76" xr:uid="{00000000-0005-0000-0000-00005D000000}"/>
    <cellStyle name="Normal 2 7 2" xfId="106" xr:uid="{00000000-0005-0000-0000-00005E000000}"/>
    <cellStyle name="Normal 2 8" xfId="84" xr:uid="{00000000-0005-0000-0000-00005F000000}"/>
    <cellStyle name="Normal 2 8 2" xfId="110" xr:uid="{00000000-0005-0000-0000-000060000000}"/>
    <cellStyle name="Normal 3" xfId="9" xr:uid="{00000000-0005-0000-0000-000061000000}"/>
    <cellStyle name="Normal 3 2" xfId="58" xr:uid="{00000000-0005-0000-0000-000062000000}"/>
    <cellStyle name="Normal 3 3" xfId="54" xr:uid="{00000000-0005-0000-0000-000063000000}"/>
    <cellStyle name="Normal 4" xfId="10" xr:uid="{00000000-0005-0000-0000-000064000000}"/>
    <cellStyle name="Normal 4 2" xfId="56" xr:uid="{00000000-0005-0000-0000-000065000000}"/>
    <cellStyle name="Normal 5" xfId="11" xr:uid="{00000000-0005-0000-0000-000066000000}"/>
    <cellStyle name="Normal 5 2" xfId="57" xr:uid="{00000000-0005-0000-0000-000067000000}"/>
    <cellStyle name="Normal 5 3" xfId="77" xr:uid="{00000000-0005-0000-0000-000068000000}"/>
    <cellStyle name="Normal 5 3 2" xfId="107" xr:uid="{00000000-0005-0000-0000-000069000000}"/>
    <cellStyle name="Normal 6" xfId="7" xr:uid="{00000000-0005-0000-0000-00006A000000}"/>
    <cellStyle name="Normal 6 2" xfId="85" xr:uid="{00000000-0005-0000-0000-00006B000000}"/>
    <cellStyle name="Normal_Sheet23" xfId="121" xr:uid="{A0F26636-ED31-47BA-8D33-E60EADF0FB42}"/>
    <cellStyle name="Normal_Sheet5" xfId="118" xr:uid="{41F6124B-0BFD-4B43-B810-CB9BB004F4DE}"/>
    <cellStyle name="Note" xfId="27" builtinId="10" customBuiltin="1"/>
    <cellStyle name="Note 2" xfId="59" xr:uid="{00000000-0005-0000-0000-00006D000000}"/>
    <cellStyle name="Output" xfId="22" builtinId="21" customBuiltin="1"/>
    <cellStyle name="rf5" xfId="78" xr:uid="{00000000-0005-0000-0000-00006F000000}"/>
    <cellStyle name="rf7" xfId="79" xr:uid="{00000000-0005-0000-0000-000070000000}"/>
    <cellStyle name="rf8" xfId="80" xr:uid="{00000000-0005-0000-0000-000071000000}"/>
    <cellStyle name="Title" xfId="13" builtinId="15" customBuiltin="1"/>
    <cellStyle name="Title 2" xfId="86" xr:uid="{00000000-0005-0000-0000-000073000000}"/>
    <cellStyle name="Total" xfId="29" builtinId="25" customBuiltin="1"/>
    <cellStyle name="Warning Text" xfId="2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9"/>
  <sheetViews>
    <sheetView workbookViewId="0">
      <selection activeCell="C3" sqref="A1:AB65536"/>
    </sheetView>
  </sheetViews>
  <sheetFormatPr defaultRowHeight="15.5" x14ac:dyDescent="0.35"/>
  <cols>
    <col min="1" max="1" width="62.36328125" style="8" customWidth="1"/>
    <col min="2" max="2" width="18" style="48" customWidth="1"/>
    <col min="3" max="3" width="20.54296875" style="3" customWidth="1"/>
    <col min="4" max="4" width="17.453125" style="3" customWidth="1"/>
    <col min="5" max="5" width="15.90625" style="3" customWidth="1"/>
    <col min="6" max="6" width="16.54296875" style="3" customWidth="1"/>
    <col min="7" max="7" width="14" style="3" customWidth="1"/>
    <col min="8" max="8" width="15.6328125" style="3" customWidth="1"/>
    <col min="9" max="9" width="15.90625" style="3" customWidth="1"/>
    <col min="10" max="10" width="17" style="3" customWidth="1"/>
    <col min="11" max="11" width="14.36328125" style="3" customWidth="1"/>
    <col min="12" max="12" width="14.08984375" style="3" customWidth="1"/>
    <col min="13" max="13" width="14.6328125" style="3" customWidth="1"/>
    <col min="14" max="21" width="15.90625" style="3" customWidth="1"/>
    <col min="22" max="22" width="15.90625" style="46" customWidth="1"/>
    <col min="23" max="27" width="15.90625" style="3" customWidth="1"/>
    <col min="28" max="28" width="18.6328125" style="2" customWidth="1"/>
    <col min="29" max="29" width="23.6328125" style="85" customWidth="1"/>
    <col min="30" max="30" width="9.90625" bestFit="1" customWidth="1"/>
    <col min="31" max="31" width="13.453125" bestFit="1" customWidth="1"/>
  </cols>
  <sheetData>
    <row r="1" spans="1:31" x14ac:dyDescent="0.35">
      <c r="A1" s="1029" t="s">
        <v>0</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D1" s="682"/>
      <c r="AE1" s="682"/>
    </row>
    <row r="2" spans="1:31" x14ac:dyDescent="0.35">
      <c r="A2" s="1029"/>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c r="AA2" s="1029"/>
      <c r="AB2" s="1029"/>
      <c r="AD2" s="682"/>
      <c r="AE2" s="682"/>
    </row>
    <row r="3" spans="1:31" ht="16" thickBot="1" x14ac:dyDescent="0.4">
      <c r="A3" s="60">
        <v>40999</v>
      </c>
      <c r="C3" s="61"/>
      <c r="D3" s="61"/>
      <c r="E3" s="61"/>
      <c r="F3" s="61"/>
      <c r="G3" s="61"/>
      <c r="H3" s="61"/>
      <c r="I3" s="61"/>
      <c r="J3" s="61"/>
      <c r="K3" s="61"/>
      <c r="L3" s="61"/>
      <c r="M3" s="61"/>
      <c r="N3" s="61"/>
      <c r="O3" s="61"/>
      <c r="P3" s="61"/>
      <c r="Q3" s="61"/>
      <c r="R3" s="61"/>
      <c r="S3" s="61"/>
      <c r="T3" s="61"/>
      <c r="U3" s="61"/>
      <c r="W3" s="61"/>
      <c r="X3" s="61"/>
      <c r="Y3" s="61"/>
      <c r="Z3" s="61"/>
      <c r="AA3" s="61"/>
      <c r="AD3" s="682"/>
      <c r="AE3" s="682"/>
    </row>
    <row r="4" spans="1:31" ht="18" customHeight="1" thickBot="1" x14ac:dyDescent="0.4">
      <c r="A4" s="9" t="s">
        <v>1</v>
      </c>
      <c r="B4" s="58" t="s">
        <v>2</v>
      </c>
      <c r="C4" s="59" t="s">
        <v>3</v>
      </c>
      <c r="D4" s="59" t="s">
        <v>4</v>
      </c>
      <c r="E4" s="59" t="s">
        <v>5</v>
      </c>
      <c r="F4" s="59" t="s">
        <v>3</v>
      </c>
      <c r="G4" s="59" t="s">
        <v>5</v>
      </c>
      <c r="H4" s="59" t="s">
        <v>3</v>
      </c>
      <c r="I4" s="59" t="s">
        <v>5</v>
      </c>
      <c r="J4" s="59" t="s">
        <v>3</v>
      </c>
      <c r="K4" s="59" t="s">
        <v>5</v>
      </c>
      <c r="L4" s="59" t="s">
        <v>3</v>
      </c>
      <c r="M4" s="59" t="s">
        <v>5</v>
      </c>
      <c r="N4" s="59" t="s">
        <v>3</v>
      </c>
      <c r="O4" s="59" t="s">
        <v>5</v>
      </c>
      <c r="P4" s="59" t="s">
        <v>3</v>
      </c>
      <c r="Q4" s="59" t="s">
        <v>5</v>
      </c>
      <c r="R4" s="59" t="s">
        <v>3</v>
      </c>
      <c r="S4" s="59" t="s">
        <v>5</v>
      </c>
      <c r="T4" s="59" t="s">
        <v>3</v>
      </c>
      <c r="U4" s="59" t="s">
        <v>5</v>
      </c>
      <c r="V4" s="59" t="s">
        <v>3</v>
      </c>
      <c r="W4" s="59" t="s">
        <v>5</v>
      </c>
      <c r="X4" s="59" t="s">
        <v>3</v>
      </c>
      <c r="Y4" s="59" t="s">
        <v>5</v>
      </c>
      <c r="Z4" s="59" t="s">
        <v>3</v>
      </c>
      <c r="AA4" s="59" t="s">
        <v>5</v>
      </c>
      <c r="AB4" s="57" t="s">
        <v>6</v>
      </c>
      <c r="AC4" s="86"/>
      <c r="AD4" s="682"/>
      <c r="AE4" s="682"/>
    </row>
    <row r="5" spans="1:31" ht="29.25" customHeight="1" thickBot="1" x14ac:dyDescent="0.4">
      <c r="A5" s="6"/>
      <c r="B5" s="49">
        <v>40633</v>
      </c>
      <c r="C5" s="11" t="s">
        <v>7</v>
      </c>
      <c r="D5" s="11"/>
      <c r="E5" s="11" t="s">
        <v>7</v>
      </c>
      <c r="F5" s="10" t="s">
        <v>8</v>
      </c>
      <c r="G5" s="7" t="s">
        <v>8</v>
      </c>
      <c r="H5" s="10" t="s">
        <v>9</v>
      </c>
      <c r="I5" s="7" t="s">
        <v>9</v>
      </c>
      <c r="J5" s="10" t="s">
        <v>10</v>
      </c>
      <c r="K5" s="7" t="s">
        <v>10</v>
      </c>
      <c r="L5" s="10" t="s">
        <v>11</v>
      </c>
      <c r="M5" s="7" t="s">
        <v>12</v>
      </c>
      <c r="N5" s="11" t="s">
        <v>13</v>
      </c>
      <c r="O5" s="11" t="s">
        <v>13</v>
      </c>
      <c r="P5" s="11" t="s">
        <v>14</v>
      </c>
      <c r="Q5" s="11" t="s">
        <v>14</v>
      </c>
      <c r="R5" s="11" t="s">
        <v>15</v>
      </c>
      <c r="S5" s="11" t="s">
        <v>15</v>
      </c>
      <c r="T5" s="11" t="s">
        <v>16</v>
      </c>
      <c r="U5" s="11" t="s">
        <v>16</v>
      </c>
      <c r="V5" s="11" t="s">
        <v>17</v>
      </c>
      <c r="W5" s="11" t="s">
        <v>17</v>
      </c>
      <c r="X5" s="11" t="s">
        <v>18</v>
      </c>
      <c r="Y5" s="11" t="s">
        <v>18</v>
      </c>
      <c r="Z5" s="11" t="s">
        <v>19</v>
      </c>
      <c r="AA5" s="11" t="s">
        <v>19</v>
      </c>
      <c r="AB5" s="11"/>
      <c r="AC5" s="86"/>
      <c r="AD5" s="682"/>
      <c r="AE5" s="682"/>
    </row>
    <row r="6" spans="1:31" s="65" customFormat="1" x14ac:dyDescent="0.35">
      <c r="A6" s="62" t="s">
        <v>20</v>
      </c>
      <c r="B6" s="63">
        <v>104795990.54999998</v>
      </c>
      <c r="C6" s="64">
        <f>3007.17+8024.84</f>
        <v>11032.01</v>
      </c>
      <c r="D6" s="64">
        <v>0</v>
      </c>
      <c r="E6" s="64">
        <f>9665854.44</f>
        <v>9665854.4399999995</v>
      </c>
      <c r="F6" s="64">
        <f>9011497.26+36852254.64+47550</f>
        <v>45911301.899999999</v>
      </c>
      <c r="G6" s="64">
        <v>9804006.4900000002</v>
      </c>
      <c r="H6" s="64">
        <f>8362465.27+58247.36</f>
        <v>8420712.629999999</v>
      </c>
      <c r="I6" s="64">
        <v>10799064.779999999</v>
      </c>
      <c r="J6" s="64">
        <v>12398.5</v>
      </c>
      <c r="K6" s="64">
        <v>10195636.73</v>
      </c>
      <c r="L6" s="64">
        <f>6229439.74+5703</f>
        <v>6235142.7400000002</v>
      </c>
      <c r="M6" s="64">
        <v>11236352.710000001</v>
      </c>
      <c r="N6" s="64">
        <f>1008833.33+2489044.75+2245807.47+2968104.23</f>
        <v>8711789.7800000012</v>
      </c>
      <c r="O6" s="64">
        <v>9915843.6699999999</v>
      </c>
      <c r="P6" s="64">
        <v>9522651.3699999992</v>
      </c>
      <c r="Q6" s="64">
        <v>10525323.310000001</v>
      </c>
      <c r="R6" s="64">
        <f>88556.96</f>
        <v>88556.96</v>
      </c>
      <c r="S6" s="64">
        <v>10712370.060000001</v>
      </c>
      <c r="T6" s="64">
        <f>4234210.27+1726932.27</f>
        <v>5961142.5399999991</v>
      </c>
      <c r="U6" s="64">
        <v>10028809.970000001</v>
      </c>
      <c r="V6" s="64">
        <v>7844559.0999999996</v>
      </c>
      <c r="W6" s="64">
        <v>10004466.77</v>
      </c>
      <c r="X6" s="64"/>
      <c r="Y6" s="64">
        <v>12077193.609999999</v>
      </c>
      <c r="Z6" s="64">
        <f>6432070.51+177747.63+27532.11</f>
        <v>6637350.25</v>
      </c>
      <c r="AA6" s="64">
        <v>11208251.4</v>
      </c>
      <c r="AB6" s="64">
        <f>B6-C6-D6+E6-F6+G6-H6+I6-J6+K6-L6+M6-N6+O6-P6+Q6-R6+S6-T6+U6-V6+W6-X6+Y6-Z6+AA6</f>
        <v>131612526.71000001</v>
      </c>
      <c r="AC6" s="87"/>
    </row>
    <row r="7" spans="1:31" s="72" customFormat="1" x14ac:dyDescent="0.35">
      <c r="A7" s="66" t="s">
        <v>21</v>
      </c>
      <c r="B7" s="67">
        <v>27880059.929999996</v>
      </c>
      <c r="C7" s="68">
        <v>0</v>
      </c>
      <c r="D7" s="68">
        <v>0</v>
      </c>
      <c r="E7" s="69">
        <v>1872824.36</v>
      </c>
      <c r="F7" s="70">
        <v>0</v>
      </c>
      <c r="G7" s="69">
        <v>1871266.05</v>
      </c>
      <c r="H7" s="69"/>
      <c r="I7" s="69">
        <v>1858444.91</v>
      </c>
      <c r="J7" s="69"/>
      <c r="K7" s="69">
        <v>1737929.05</v>
      </c>
      <c r="L7" s="71">
        <v>24616348.719999999</v>
      </c>
      <c r="M7" s="71">
        <v>2485595.81</v>
      </c>
      <c r="N7" s="71"/>
      <c r="O7" s="71">
        <v>1780623.84</v>
      </c>
      <c r="P7" s="71">
        <v>0</v>
      </c>
      <c r="Q7" s="71">
        <v>2058677.21</v>
      </c>
      <c r="R7" s="71"/>
      <c r="S7" s="71">
        <v>2650856.88</v>
      </c>
      <c r="T7" s="71"/>
      <c r="U7" s="71">
        <v>1908741.76</v>
      </c>
      <c r="V7" s="71"/>
      <c r="W7" s="71">
        <v>2477773.08</v>
      </c>
      <c r="X7" s="71"/>
      <c r="Y7" s="71">
        <v>2734560.21</v>
      </c>
      <c r="Z7" s="71"/>
      <c r="AA7" s="71">
        <v>2200935.7799999998</v>
      </c>
      <c r="AB7" s="71">
        <f t="shared" ref="AB7:AB70" si="0">B7-C7-D7+E7-F7+G7-H7+I7-J7+K7-L7+M7-N7+O7-P7+Q7-R7+S7-T7+U7-V7+W7-X7+Y7-Z7+AA7</f>
        <v>28901940.149999999</v>
      </c>
      <c r="AC7" s="88" t="s">
        <v>22</v>
      </c>
    </row>
    <row r="8" spans="1:31" s="72" customFormat="1" x14ac:dyDescent="0.35">
      <c r="A8" s="66" t="s">
        <v>23</v>
      </c>
      <c r="B8" s="67">
        <v>22322922.259999998</v>
      </c>
      <c r="C8" s="68">
        <v>1260179.27</v>
      </c>
      <c r="D8" s="68">
        <f>120677.6+74991.73</f>
        <v>195669.33000000002</v>
      </c>
      <c r="E8" s="70">
        <v>7773656.7300000004</v>
      </c>
      <c r="F8" s="70">
        <v>0</v>
      </c>
      <c r="G8" s="70">
        <v>8182407.1799999997</v>
      </c>
      <c r="H8" s="70">
        <f>13070379.13+15570351.26</f>
        <v>28640730.390000001</v>
      </c>
      <c r="I8" s="70">
        <v>7917569.4900000002</v>
      </c>
      <c r="J8" s="70">
        <v>8182407.1799999997</v>
      </c>
      <c r="K8" s="70">
        <v>7837577.71</v>
      </c>
      <c r="L8" s="73">
        <v>7917569.4900000002</v>
      </c>
      <c r="M8" s="73">
        <v>12144664.109999999</v>
      </c>
      <c r="N8" s="73">
        <v>7837577.71</v>
      </c>
      <c r="O8" s="73">
        <v>8191813.6799999997</v>
      </c>
      <c r="P8" s="73">
        <v>0</v>
      </c>
      <c r="Q8" s="73">
        <v>8485124.2799999993</v>
      </c>
      <c r="R8" s="73">
        <v>0</v>
      </c>
      <c r="S8" s="73">
        <v>7943711.4500000002</v>
      </c>
      <c r="T8" s="73"/>
      <c r="U8" s="73">
        <v>7653325.3399999999</v>
      </c>
      <c r="V8" s="73">
        <v>36765313.520000003</v>
      </c>
      <c r="W8" s="73">
        <v>8518300.7400000002</v>
      </c>
      <c r="X8" s="73"/>
      <c r="Y8" s="73">
        <v>9455549.8699999992</v>
      </c>
      <c r="Z8" s="73">
        <v>7653325.3399999999</v>
      </c>
      <c r="AA8" s="73">
        <v>9857562.9000000004</v>
      </c>
      <c r="AB8" s="71">
        <f t="shared" si="0"/>
        <v>27831413.509999998</v>
      </c>
      <c r="AC8" s="88"/>
    </row>
    <row r="9" spans="1:31" s="72" customFormat="1" x14ac:dyDescent="0.35">
      <c r="A9" s="66" t="s">
        <v>24</v>
      </c>
      <c r="B9" s="67">
        <v>19726931.140000001</v>
      </c>
      <c r="C9" s="70">
        <v>10334988.220000001</v>
      </c>
      <c r="D9" s="70">
        <v>9391942.9199999999</v>
      </c>
      <c r="E9" s="70">
        <v>4540820.07</v>
      </c>
      <c r="F9" s="70">
        <v>0</v>
      </c>
      <c r="G9" s="70">
        <v>6194643.1799999997</v>
      </c>
      <c r="H9" s="70"/>
      <c r="I9" s="70">
        <v>5046325.12</v>
      </c>
      <c r="J9" s="70"/>
      <c r="K9" s="70">
        <v>5117094.6900000004</v>
      </c>
      <c r="L9" s="73">
        <v>0</v>
      </c>
      <c r="M9" s="73">
        <v>6323612.1799999997</v>
      </c>
      <c r="N9" s="73"/>
      <c r="O9" s="73">
        <v>4719744.6100000003</v>
      </c>
      <c r="P9" s="73">
        <v>0</v>
      </c>
      <c r="Q9" s="73">
        <v>4892807.1500000004</v>
      </c>
      <c r="R9" s="73">
        <f>15781788.37+5117094.69+15843877.79</f>
        <v>36742760.849999994</v>
      </c>
      <c r="S9" s="73">
        <v>5485412.9299999997</v>
      </c>
      <c r="T9" s="73"/>
      <c r="U9" s="73">
        <v>4868028.3899999997</v>
      </c>
      <c r="V9" s="73"/>
      <c r="W9" s="73">
        <v>4892456.8499999996</v>
      </c>
      <c r="X9" s="73"/>
      <c r="Y9" s="73">
        <v>6769791.3600000003</v>
      </c>
      <c r="Z9" s="73">
        <f>15197700.3+6665895.42</f>
        <v>21863595.719999999</v>
      </c>
      <c r="AA9" s="73">
        <v>5486233.8799999999</v>
      </c>
      <c r="AB9" s="71">
        <f t="shared" si="0"/>
        <v>5730613.8400000082</v>
      </c>
      <c r="AC9" s="88"/>
    </row>
    <row r="10" spans="1:31" s="72" customFormat="1" x14ac:dyDescent="0.35">
      <c r="A10" s="66" t="s">
        <v>25</v>
      </c>
      <c r="B10" s="67">
        <v>12262921.840000002</v>
      </c>
      <c r="C10" s="70">
        <v>0</v>
      </c>
      <c r="D10" s="70">
        <f>1535016.34+25670.1</f>
        <v>1560686.4400000002</v>
      </c>
      <c r="E10" s="70">
        <v>4630008.72</v>
      </c>
      <c r="F10" s="70">
        <v>0</v>
      </c>
      <c r="G10" s="70">
        <v>5265045.33</v>
      </c>
      <c r="H10" s="70">
        <v>15332244.119999999</v>
      </c>
      <c r="I10" s="70">
        <v>5922781.4699999997</v>
      </c>
      <c r="J10" s="70">
        <v>5265045.33</v>
      </c>
      <c r="K10" s="70">
        <v>5270009.1900000004</v>
      </c>
      <c r="L10" s="73">
        <f>5922781.47+5270009.19</f>
        <v>11192790.66</v>
      </c>
      <c r="M10" s="73">
        <v>5375224.2000000002</v>
      </c>
      <c r="N10" s="73"/>
      <c r="O10" s="73">
        <v>4756029.75</v>
      </c>
      <c r="P10" s="73">
        <v>0</v>
      </c>
      <c r="Q10" s="73">
        <v>4806332.2</v>
      </c>
      <c r="R10" s="73"/>
      <c r="S10" s="73">
        <v>4093294.49</v>
      </c>
      <c r="T10" s="73">
        <f>4756029.75+5375224.2</f>
        <v>10131253.949999999</v>
      </c>
      <c r="U10" s="73">
        <v>3835550.7</v>
      </c>
      <c r="V10" s="73">
        <f>4806332.2+4093294.49</f>
        <v>8899626.6900000013</v>
      </c>
      <c r="W10" s="73">
        <v>3883796.68</v>
      </c>
      <c r="X10" s="73">
        <v>3835550.7</v>
      </c>
      <c r="Y10" s="73">
        <v>4687802.16</v>
      </c>
      <c r="Z10" s="73">
        <v>3883796.68</v>
      </c>
      <c r="AA10" s="73">
        <v>4207810.87</v>
      </c>
      <c r="AB10" s="71">
        <f t="shared" si="0"/>
        <v>8895613.0300000012</v>
      </c>
      <c r="AC10" s="88"/>
    </row>
    <row r="11" spans="1:31" s="72" customFormat="1" x14ac:dyDescent="0.35">
      <c r="A11" s="66" t="s">
        <v>26</v>
      </c>
      <c r="B11" s="67">
        <v>11775372.120000001</v>
      </c>
      <c r="C11" s="70">
        <v>0</v>
      </c>
      <c r="D11" s="70">
        <v>4154261.6</v>
      </c>
      <c r="E11" s="70">
        <v>3656448.11</v>
      </c>
      <c r="F11" s="70">
        <v>0</v>
      </c>
      <c r="G11" s="70">
        <v>3698233.21</v>
      </c>
      <c r="H11" s="70"/>
      <c r="I11" s="70">
        <v>6753790.9900000002</v>
      </c>
      <c r="J11" s="70">
        <f>6753790.99+14975791.84</f>
        <v>21729582.829999998</v>
      </c>
      <c r="K11" s="70">
        <v>4313223.95</v>
      </c>
      <c r="L11" s="73">
        <v>0</v>
      </c>
      <c r="M11" s="73">
        <v>6184751.8600000003</v>
      </c>
      <c r="N11" s="73">
        <v>0</v>
      </c>
      <c r="O11" s="73">
        <v>5035225.41</v>
      </c>
      <c r="P11" s="73">
        <v>4313223.95</v>
      </c>
      <c r="Q11" s="73">
        <v>5407342.4699999997</v>
      </c>
      <c r="R11" s="73"/>
      <c r="S11" s="73">
        <v>5245594.84</v>
      </c>
      <c r="T11" s="73"/>
      <c r="U11" s="73">
        <v>4222217.9000000004</v>
      </c>
      <c r="V11" s="73"/>
      <c r="W11" s="73">
        <v>4541552.8099999996</v>
      </c>
      <c r="X11" s="73">
        <f>6184751.86+5035225.41+10652937.31</f>
        <v>21872914.579999998</v>
      </c>
      <c r="Y11" s="73">
        <v>4939561.6900000004</v>
      </c>
      <c r="Z11" s="73"/>
      <c r="AA11" s="73">
        <v>4900209.9400000004</v>
      </c>
      <c r="AB11" s="71">
        <f t="shared" si="0"/>
        <v>18603542.34</v>
      </c>
      <c r="AC11" s="88" t="s">
        <v>22</v>
      </c>
    </row>
    <row r="12" spans="1:31" s="72" customFormat="1" x14ac:dyDescent="0.35">
      <c r="A12" s="66" t="s">
        <v>27</v>
      </c>
      <c r="B12" s="67">
        <v>10016181.1</v>
      </c>
      <c r="C12" s="70">
        <v>7570820.3300000001</v>
      </c>
      <c r="D12" s="70">
        <v>779465.93</v>
      </c>
      <c r="E12" s="70">
        <v>4152083.86</v>
      </c>
      <c r="F12" s="70">
        <v>0</v>
      </c>
      <c r="G12" s="70">
        <v>4316049.91</v>
      </c>
      <c r="H12" s="70">
        <f>5817978.7+4316049.91</f>
        <v>10134028.609999999</v>
      </c>
      <c r="I12" s="70">
        <v>4787450.3</v>
      </c>
      <c r="J12" s="70">
        <v>4787450.3</v>
      </c>
      <c r="K12" s="70">
        <v>4438148.18</v>
      </c>
      <c r="L12" s="73">
        <f>4438148.18</f>
        <v>4438148.18</v>
      </c>
      <c r="M12" s="73">
        <v>5103887.2</v>
      </c>
      <c r="N12" s="73"/>
      <c r="O12" s="73">
        <v>4289527.3600000003</v>
      </c>
      <c r="P12" s="73">
        <v>0</v>
      </c>
      <c r="Q12" s="73">
        <v>4780884.54</v>
      </c>
      <c r="R12" s="73">
        <f>9884771.74+4289527.36</f>
        <v>14174299.100000001</v>
      </c>
      <c r="S12" s="73">
        <v>4392939.9400000004</v>
      </c>
      <c r="T12" s="73"/>
      <c r="U12" s="73">
        <v>4360987.63</v>
      </c>
      <c r="V12" s="73">
        <f>4392939.94+4360987.63</f>
        <v>8753927.5700000003</v>
      </c>
      <c r="W12" s="73">
        <v>3965194.73</v>
      </c>
      <c r="X12" s="73">
        <v>3965194.73</v>
      </c>
      <c r="Y12" s="73">
        <v>4653208.47</v>
      </c>
      <c r="Z12" s="73">
        <v>4653208.47</v>
      </c>
      <c r="AA12" s="73">
        <v>4323699.9800000004</v>
      </c>
      <c r="AB12" s="71">
        <f t="shared" si="0"/>
        <v>4323699.9800000004</v>
      </c>
      <c r="AC12" s="88" t="s">
        <v>22</v>
      </c>
    </row>
    <row r="13" spans="1:31" s="75" customFormat="1" x14ac:dyDescent="0.35">
      <c r="A13" s="66" t="s">
        <v>28</v>
      </c>
      <c r="B13" s="67">
        <v>2281367.3100000005</v>
      </c>
      <c r="C13" s="70">
        <v>397566.99</v>
      </c>
      <c r="D13" s="70">
        <v>786129.74</v>
      </c>
      <c r="E13" s="70">
        <v>341698.43</v>
      </c>
      <c r="F13" s="74">
        <v>388790.22</v>
      </c>
      <c r="G13" s="70">
        <v>318483.95</v>
      </c>
      <c r="H13" s="70"/>
      <c r="I13" s="70">
        <v>215685.99</v>
      </c>
      <c r="J13" s="70">
        <v>822543.11</v>
      </c>
      <c r="K13" s="70">
        <v>265250.53999999998</v>
      </c>
      <c r="L13" s="73">
        <v>338392.68</v>
      </c>
      <c r="M13" s="73">
        <v>371001.29</v>
      </c>
      <c r="N13" s="73">
        <v>530892.18000000005</v>
      </c>
      <c r="O13" s="73">
        <v>608995.56999999995</v>
      </c>
      <c r="P13" s="73">
        <v>0</v>
      </c>
      <c r="Q13" s="73">
        <v>261454.67</v>
      </c>
      <c r="R13" s="73">
        <v>252738.93</v>
      </c>
      <c r="S13" s="73">
        <v>274398.62</v>
      </c>
      <c r="T13" s="73"/>
      <c r="U13" s="73">
        <v>239199.14</v>
      </c>
      <c r="V13" s="73"/>
      <c r="W13" s="73">
        <v>221416.07</v>
      </c>
      <c r="X13" s="73">
        <v>541674.80000000005</v>
      </c>
      <c r="Y13" s="73">
        <v>317301.27</v>
      </c>
      <c r="Z13" s="73">
        <f>874935.24+489003.11+814420.9</f>
        <v>2178359.25</v>
      </c>
      <c r="AA13" s="73">
        <v>316715.12</v>
      </c>
      <c r="AB13" s="71">
        <f t="shared" si="0"/>
        <v>-204119.92999999935</v>
      </c>
      <c r="AC13" s="88"/>
      <c r="AE13" s="46"/>
    </row>
    <row r="14" spans="1:31" s="72" customFormat="1" x14ac:dyDescent="0.35">
      <c r="A14" s="66" t="s">
        <v>29</v>
      </c>
      <c r="B14" s="67">
        <v>6113092.5199999996</v>
      </c>
      <c r="C14" s="70"/>
      <c r="D14" s="70">
        <v>0</v>
      </c>
      <c r="E14" s="70"/>
      <c r="F14" s="74"/>
      <c r="G14" s="70"/>
      <c r="H14" s="70"/>
      <c r="I14" s="70"/>
      <c r="J14" s="70"/>
      <c r="K14" s="70"/>
      <c r="L14" s="73"/>
      <c r="M14" s="73">
        <v>0</v>
      </c>
      <c r="N14" s="73"/>
      <c r="O14" s="73">
        <v>0</v>
      </c>
      <c r="P14" s="73">
        <v>0</v>
      </c>
      <c r="Q14" s="73">
        <v>0</v>
      </c>
      <c r="R14" s="73"/>
      <c r="S14" s="73">
        <v>0</v>
      </c>
      <c r="T14" s="73"/>
      <c r="U14" s="73">
        <v>0</v>
      </c>
      <c r="V14" s="73"/>
      <c r="W14" s="73">
        <v>0</v>
      </c>
      <c r="X14" s="73"/>
      <c r="Y14" s="73">
        <v>0</v>
      </c>
      <c r="Z14" s="73"/>
      <c r="AA14" s="73">
        <v>0</v>
      </c>
      <c r="AB14" s="71">
        <f t="shared" si="0"/>
        <v>6113092.5199999996</v>
      </c>
      <c r="AC14" s="88"/>
      <c r="AE14" s="46"/>
    </row>
    <row r="15" spans="1:31" s="75" customFormat="1" x14ac:dyDescent="0.35">
      <c r="A15" s="66" t="s">
        <v>30</v>
      </c>
      <c r="B15" s="67">
        <v>7975699.0699999994</v>
      </c>
      <c r="C15" s="70">
        <f>3683831.31</f>
        <v>3683831.31</v>
      </c>
      <c r="D15" s="70">
        <f>2852786.93-485207.54</f>
        <v>2367579.39</v>
      </c>
      <c r="E15" s="70">
        <v>1135451.8999999999</v>
      </c>
      <c r="F15" s="74">
        <f>682297.81+449810.59+1343786.57</f>
        <v>2475894.9700000002</v>
      </c>
      <c r="G15" s="70">
        <v>1703208.23</v>
      </c>
      <c r="H15" s="70">
        <f>1515403.13+184350.15</f>
        <v>1699753.2799999998</v>
      </c>
      <c r="I15" s="70">
        <v>2275084.94</v>
      </c>
      <c r="J15" s="70"/>
      <c r="K15" s="70">
        <v>1645676.25</v>
      </c>
      <c r="L15" s="73">
        <v>0</v>
      </c>
      <c r="M15" s="73">
        <v>2350544.3199999998</v>
      </c>
      <c r="N15" s="73">
        <v>455533.32</v>
      </c>
      <c r="O15" s="73">
        <v>1250455.54</v>
      </c>
      <c r="P15" s="73">
        <v>0</v>
      </c>
      <c r="Q15" s="73">
        <v>2016893.71</v>
      </c>
      <c r="R15" s="73"/>
      <c r="S15" s="73">
        <v>2349728.21</v>
      </c>
      <c r="T15" s="73"/>
      <c r="U15" s="73">
        <v>2091702.96</v>
      </c>
      <c r="V15" s="73"/>
      <c r="W15" s="73">
        <v>1361999.04</v>
      </c>
      <c r="X15" s="73">
        <f>291301.2+734118.68+982100.11+458770.81+51433.85+2064179.18</f>
        <v>4581903.83</v>
      </c>
      <c r="Y15" s="73">
        <v>2076558.22</v>
      </c>
      <c r="Z15" s="73">
        <f>3547372.52+7035002.09+265774.41+47198.78+1954409+118749.49</f>
        <v>12968506.289999999</v>
      </c>
      <c r="AA15" s="73">
        <v>2328194.0699999998</v>
      </c>
      <c r="AB15" s="71">
        <f t="shared" si="0"/>
        <v>2328194.0699999998</v>
      </c>
      <c r="AC15" s="88"/>
    </row>
    <row r="16" spans="1:31" s="72" customFormat="1" x14ac:dyDescent="0.35">
      <c r="A16" s="66" t="s">
        <v>31</v>
      </c>
      <c r="B16" s="67">
        <v>7950749.6600000001</v>
      </c>
      <c r="C16" s="70">
        <v>0</v>
      </c>
      <c r="D16" s="70">
        <v>2564532.1</v>
      </c>
      <c r="E16" s="70">
        <v>1414568.17</v>
      </c>
      <c r="F16" s="70">
        <v>0</v>
      </c>
      <c r="G16" s="70">
        <v>1558855.76</v>
      </c>
      <c r="H16" s="70"/>
      <c r="I16" s="70">
        <v>1709145.33</v>
      </c>
      <c r="J16" s="70">
        <f>712624.03+907895.44+1331489.33</f>
        <v>2952008.8</v>
      </c>
      <c r="K16" s="70">
        <v>1677900.83</v>
      </c>
      <c r="L16" s="73">
        <v>0</v>
      </c>
      <c r="M16" s="73">
        <v>2340619.4700000002</v>
      </c>
      <c r="N16" s="73">
        <f>969679.4+1885039.94+641758.06+372657.66+176523.72</f>
        <v>4045658.7800000003</v>
      </c>
      <c r="O16" s="73">
        <v>1677458.59</v>
      </c>
      <c r="P16" s="73">
        <v>0</v>
      </c>
      <c r="Q16" s="73">
        <v>1834991.89</v>
      </c>
      <c r="R16" s="73">
        <f>34302.63+1449857.87+579171.12+4184565.72+1624715.02</f>
        <v>7872612.3599999994</v>
      </c>
      <c r="S16" s="73">
        <v>2516566.58</v>
      </c>
      <c r="T16" s="73">
        <v>0</v>
      </c>
      <c r="U16" s="73">
        <v>1876008.38</v>
      </c>
      <c r="V16" s="73"/>
      <c r="W16" s="73">
        <v>1653759.11</v>
      </c>
      <c r="X16" s="73">
        <f>109764.47+4998791.63+1047335.94</f>
        <v>6155892.0399999991</v>
      </c>
      <c r="Y16" s="73">
        <v>2538193.5</v>
      </c>
      <c r="Z16" s="73">
        <f>12292.75+29839.11+1126536.3+2482625.8</f>
        <v>3651293.96</v>
      </c>
      <c r="AA16" s="73">
        <v>2218376.75</v>
      </c>
      <c r="AB16" s="71">
        <f t="shared" si="0"/>
        <v>3725195.9800000051</v>
      </c>
      <c r="AC16" s="88"/>
    </row>
    <row r="17" spans="1:30" s="72" customFormat="1" x14ac:dyDescent="0.35">
      <c r="A17" s="66" t="s">
        <v>32</v>
      </c>
      <c r="B17" s="67">
        <v>8127891.4700000007</v>
      </c>
      <c r="C17" s="70">
        <v>0</v>
      </c>
      <c r="D17" s="70">
        <v>382894.2</v>
      </c>
      <c r="E17" s="70">
        <v>515615.66</v>
      </c>
      <c r="F17" s="70">
        <v>0</v>
      </c>
      <c r="G17" s="70">
        <v>266292.28000000003</v>
      </c>
      <c r="H17" s="70">
        <v>1915950.77</v>
      </c>
      <c r="I17" s="70">
        <v>250507.15</v>
      </c>
      <c r="J17" s="70">
        <v>964801.7</v>
      </c>
      <c r="K17" s="70">
        <v>264090.17</v>
      </c>
      <c r="L17" s="73">
        <v>266292.28000000003</v>
      </c>
      <c r="M17" s="73">
        <v>301613.25</v>
      </c>
      <c r="N17" s="73"/>
      <c r="O17" s="73">
        <v>248050.29</v>
      </c>
      <c r="P17" s="73">
        <v>0</v>
      </c>
      <c r="Q17" s="73">
        <v>270574.82</v>
      </c>
      <c r="R17" s="73">
        <v>779705.83</v>
      </c>
      <c r="S17" s="73">
        <v>270926.58</v>
      </c>
      <c r="T17" s="73"/>
      <c r="U17" s="73">
        <v>261385.59</v>
      </c>
      <c r="V17" s="73">
        <v>250507.15</v>
      </c>
      <c r="W17" s="73">
        <v>261385.59</v>
      </c>
      <c r="X17" s="73">
        <v>1352550.53</v>
      </c>
      <c r="Y17" s="73">
        <v>285028.90000000002</v>
      </c>
      <c r="Z17" s="73">
        <f>2344701.31+864279.08+200401.89+88112.63</f>
        <v>3497494.91</v>
      </c>
      <c r="AA17" s="73">
        <v>1322322.18</v>
      </c>
      <c r="AB17" s="71">
        <f t="shared" si="0"/>
        <v>3235486.5600000005</v>
      </c>
      <c r="AC17" s="88" t="s">
        <v>22</v>
      </c>
    </row>
    <row r="18" spans="1:30" s="72" customFormat="1" x14ac:dyDescent="0.35">
      <c r="A18" s="66" t="s">
        <v>33</v>
      </c>
      <c r="B18" s="67"/>
      <c r="C18" s="70"/>
      <c r="D18" s="70">
        <v>0</v>
      </c>
      <c r="E18" s="70"/>
      <c r="F18" s="70"/>
      <c r="G18" s="70"/>
      <c r="H18" s="70"/>
      <c r="I18" s="70"/>
      <c r="J18" s="70"/>
      <c r="K18" s="70"/>
      <c r="L18" s="73"/>
      <c r="M18" s="73"/>
      <c r="N18" s="73"/>
      <c r="O18" s="73"/>
      <c r="P18" s="73"/>
      <c r="Q18" s="73"/>
      <c r="R18" s="73"/>
      <c r="S18" s="73">
        <v>16119.64</v>
      </c>
      <c r="T18" s="73"/>
      <c r="U18" s="73">
        <v>0</v>
      </c>
      <c r="V18" s="73"/>
      <c r="W18" s="73">
        <v>0</v>
      </c>
      <c r="X18" s="73"/>
      <c r="Y18" s="73">
        <v>0</v>
      </c>
      <c r="Z18" s="73"/>
      <c r="AA18" s="73">
        <v>0</v>
      </c>
      <c r="AB18" s="71">
        <f t="shared" si="0"/>
        <v>16119.64</v>
      </c>
      <c r="AC18" s="88"/>
    </row>
    <row r="19" spans="1:30" s="72" customFormat="1" x14ac:dyDescent="0.35">
      <c r="A19" s="66" t="s">
        <v>34</v>
      </c>
      <c r="B19" s="67">
        <v>7737019.7400000002</v>
      </c>
      <c r="C19" s="70">
        <v>0</v>
      </c>
      <c r="D19" s="70">
        <v>0</v>
      </c>
      <c r="E19" s="70">
        <v>798471.11</v>
      </c>
      <c r="F19" s="70">
        <v>0</v>
      </c>
      <c r="G19" s="70">
        <v>862263.65</v>
      </c>
      <c r="H19" s="70"/>
      <c r="I19" s="70">
        <v>1022582.49</v>
      </c>
      <c r="J19" s="70"/>
      <c r="K19" s="70">
        <v>1079612.95</v>
      </c>
      <c r="L19" s="73">
        <v>0</v>
      </c>
      <c r="M19" s="73">
        <v>1623221.43</v>
      </c>
      <c r="N19" s="73">
        <v>4976141.4000000004</v>
      </c>
      <c r="O19" s="73">
        <v>704451.66</v>
      </c>
      <c r="P19" s="73">
        <v>0</v>
      </c>
      <c r="Q19" s="73">
        <v>760512.87</v>
      </c>
      <c r="R19" s="73"/>
      <c r="S19" s="73">
        <v>899308.85</v>
      </c>
      <c r="T19" s="73"/>
      <c r="U19" s="73">
        <v>828412.46</v>
      </c>
      <c r="V19" s="73"/>
      <c r="W19" s="73">
        <v>722027.42</v>
      </c>
      <c r="X19" s="73">
        <v>1464964.53</v>
      </c>
      <c r="Y19" s="73">
        <v>784058.99</v>
      </c>
      <c r="Z19" s="73">
        <v>285028.90000000002</v>
      </c>
      <c r="AA19" s="73">
        <v>1081286.98</v>
      </c>
      <c r="AB19" s="71">
        <f t="shared" si="0"/>
        <v>12177095.77</v>
      </c>
      <c r="AC19" s="88"/>
    </row>
    <row r="20" spans="1:30" s="72" customFormat="1" x14ac:dyDescent="0.35">
      <c r="A20" s="66" t="s">
        <v>35</v>
      </c>
      <c r="B20" s="67">
        <v>6474319.8599999994</v>
      </c>
      <c r="C20" s="70">
        <v>0</v>
      </c>
      <c r="D20" s="70">
        <v>0</v>
      </c>
      <c r="E20" s="70">
        <v>847095.16</v>
      </c>
      <c r="F20" s="74">
        <v>2678750.16</v>
      </c>
      <c r="G20" s="70">
        <v>1034573.31</v>
      </c>
      <c r="H20" s="70">
        <f>2611161.27</f>
        <v>2611161.27</v>
      </c>
      <c r="I20" s="70">
        <v>1074160.83</v>
      </c>
      <c r="J20" s="70"/>
      <c r="K20" s="70">
        <v>987092.07</v>
      </c>
      <c r="L20" s="73">
        <v>264810.48</v>
      </c>
      <c r="M20" s="73">
        <v>1489461.22</v>
      </c>
      <c r="N20" s="73">
        <f>679714.33+1091267.9</f>
        <v>1770982.23</v>
      </c>
      <c r="O20" s="73">
        <v>894056.92</v>
      </c>
      <c r="P20" s="73">
        <v>612052.94999999995</v>
      </c>
      <c r="Q20" s="73">
        <v>870288.64</v>
      </c>
      <c r="R20" s="73"/>
      <c r="S20" s="73">
        <v>1016848.86</v>
      </c>
      <c r="T20" s="73"/>
      <c r="U20" s="73">
        <v>873002.39</v>
      </c>
      <c r="V20" s="73"/>
      <c r="W20" s="73">
        <v>878160.88</v>
      </c>
      <c r="X20" s="73"/>
      <c r="Y20" s="73">
        <v>942811.27</v>
      </c>
      <c r="Z20" s="73"/>
      <c r="AA20" s="73">
        <v>905112.64</v>
      </c>
      <c r="AB20" s="71">
        <f t="shared" si="0"/>
        <v>10349226.960000001</v>
      </c>
      <c r="AC20" s="88" t="s">
        <v>22</v>
      </c>
    </row>
    <row r="21" spans="1:30" s="72" customFormat="1" x14ac:dyDescent="0.35">
      <c r="A21" s="66" t="s">
        <v>36</v>
      </c>
      <c r="B21" s="67">
        <v>5089965.7300000004</v>
      </c>
      <c r="C21" s="70">
        <v>0</v>
      </c>
      <c r="D21" s="70">
        <v>0</v>
      </c>
      <c r="E21" s="70">
        <v>460860.33</v>
      </c>
      <c r="F21" s="74">
        <v>4222154.5999999996</v>
      </c>
      <c r="G21" s="70">
        <v>396984.65</v>
      </c>
      <c r="H21" s="70">
        <v>384642.17</v>
      </c>
      <c r="I21" s="70">
        <v>394708.89</v>
      </c>
      <c r="J21" s="70">
        <v>1159609.78</v>
      </c>
      <c r="K21" s="70">
        <v>442490.53</v>
      </c>
      <c r="L21" s="73">
        <v>360495.48</v>
      </c>
      <c r="M21" s="73">
        <v>497804.75</v>
      </c>
      <c r="N21" s="73">
        <v>442490.53</v>
      </c>
      <c r="O21" s="73">
        <v>379988.19</v>
      </c>
      <c r="P21" s="73">
        <v>0</v>
      </c>
      <c r="Q21" s="73">
        <v>445344.51</v>
      </c>
      <c r="R21" s="73"/>
      <c r="S21" s="73">
        <v>458564.82</v>
      </c>
      <c r="T21" s="73"/>
      <c r="U21" s="73">
        <v>414979.72</v>
      </c>
      <c r="V21" s="73"/>
      <c r="W21" s="73">
        <v>412322.74</v>
      </c>
      <c r="X21" s="73"/>
      <c r="Y21" s="73">
        <v>551939.61</v>
      </c>
      <c r="Z21" s="73"/>
      <c r="AA21" s="73">
        <v>711358.57</v>
      </c>
      <c r="AB21" s="71">
        <f t="shared" si="0"/>
        <v>4087920.4800000004</v>
      </c>
      <c r="AC21" s="88"/>
    </row>
    <row r="22" spans="1:30" s="75" customFormat="1" x14ac:dyDescent="0.35">
      <c r="A22" s="66" t="s">
        <v>37</v>
      </c>
      <c r="B22" s="67">
        <v>3080428.66</v>
      </c>
      <c r="C22" s="70">
        <f>2184207.03+281339.76</f>
        <v>2465546.79</v>
      </c>
      <c r="D22" s="70">
        <v>0</v>
      </c>
      <c r="E22" s="70">
        <v>242398.17</v>
      </c>
      <c r="F22" s="70">
        <v>0</v>
      </c>
      <c r="G22" s="70">
        <v>293600.36</v>
      </c>
      <c r="H22" s="70"/>
      <c r="I22" s="70">
        <v>302201.74</v>
      </c>
      <c r="J22" s="70"/>
      <c r="K22" s="70">
        <v>294451.53000000003</v>
      </c>
      <c r="L22" s="73">
        <v>0</v>
      </c>
      <c r="M22" s="73">
        <v>298402.14</v>
      </c>
      <c r="N22" s="73">
        <v>293600.36</v>
      </c>
      <c r="O22" s="73">
        <v>311097.51</v>
      </c>
      <c r="P22" s="73">
        <f>293600.36+669283.54</f>
        <v>962883.9</v>
      </c>
      <c r="Q22" s="73">
        <v>360086.2</v>
      </c>
      <c r="R22" s="73">
        <v>302201.74</v>
      </c>
      <c r="S22" s="73">
        <v>353971.5</v>
      </c>
      <c r="T22" s="73"/>
      <c r="U22" s="73">
        <v>347440.17</v>
      </c>
      <c r="V22" s="73"/>
      <c r="W22" s="73">
        <v>332639.21999999997</v>
      </c>
      <c r="X22" s="73">
        <f>969585.85+353971.5</f>
        <v>1323557.3500000001</v>
      </c>
      <c r="Y22" s="73">
        <v>356570.01</v>
      </c>
      <c r="Z22" s="73">
        <v>704010.18</v>
      </c>
      <c r="AA22" s="73">
        <v>367621.97</v>
      </c>
      <c r="AB22" s="71">
        <f t="shared" si="0"/>
        <v>889108.86</v>
      </c>
      <c r="AC22" s="88"/>
    </row>
    <row r="23" spans="1:30" s="75" customFormat="1" x14ac:dyDescent="0.35">
      <c r="A23" s="66" t="s">
        <v>38</v>
      </c>
      <c r="B23" s="67">
        <v>2790624.8499999996</v>
      </c>
      <c r="C23" s="70">
        <v>0</v>
      </c>
      <c r="D23" s="70">
        <v>0</v>
      </c>
      <c r="E23" s="70">
        <v>918865.27</v>
      </c>
      <c r="F23" s="70">
        <v>0</v>
      </c>
      <c r="G23" s="70">
        <v>816076.28</v>
      </c>
      <c r="H23" s="70"/>
      <c r="I23" s="70">
        <v>707829.77</v>
      </c>
      <c r="J23" s="70"/>
      <c r="K23" s="70">
        <v>697102.55</v>
      </c>
      <c r="L23" s="73">
        <f>816076.28+3600332.62</f>
        <v>4416408.9000000004</v>
      </c>
      <c r="M23" s="73">
        <v>1217893.1200000001</v>
      </c>
      <c r="N23" s="73"/>
      <c r="O23" s="73">
        <v>841585.1</v>
      </c>
      <c r="P23" s="73">
        <v>0</v>
      </c>
      <c r="Q23" s="73">
        <v>1032391.84</v>
      </c>
      <c r="R23" s="73"/>
      <c r="S23" s="73">
        <v>1018157.25</v>
      </c>
      <c r="T23" s="73"/>
      <c r="U23" s="73">
        <v>1043373</v>
      </c>
      <c r="V23" s="73">
        <v>1907788.15</v>
      </c>
      <c r="W23" s="73">
        <v>725396.54</v>
      </c>
      <c r="X23" s="73"/>
      <c r="Y23" s="73">
        <v>1227627.31</v>
      </c>
      <c r="Z23" s="73">
        <f>3093922.09+888247.92+697102.35</f>
        <v>4679272.3599999994</v>
      </c>
      <c r="AA23" s="73">
        <v>854294.54</v>
      </c>
      <c r="AB23" s="71">
        <f t="shared" si="0"/>
        <v>2887748.0100000007</v>
      </c>
      <c r="AC23" s="88"/>
    </row>
    <row r="24" spans="1:30" s="72" customFormat="1" x14ac:dyDescent="0.35">
      <c r="A24" s="66" t="s">
        <v>39</v>
      </c>
      <c r="B24" s="67">
        <v>0</v>
      </c>
      <c r="C24" s="70">
        <v>0</v>
      </c>
      <c r="D24" s="70">
        <v>0</v>
      </c>
      <c r="E24" s="70">
        <v>0</v>
      </c>
      <c r="F24" s="70">
        <v>0</v>
      </c>
      <c r="G24" s="70">
        <v>26322.89</v>
      </c>
      <c r="H24" s="70"/>
      <c r="I24" s="70">
        <v>29925.95</v>
      </c>
      <c r="J24" s="70"/>
      <c r="K24" s="70">
        <v>25525.72</v>
      </c>
      <c r="L24" s="73">
        <v>0</v>
      </c>
      <c r="M24" s="73">
        <v>21955.8</v>
      </c>
      <c r="N24" s="73"/>
      <c r="O24" s="73">
        <v>32574.639999999999</v>
      </c>
      <c r="P24" s="73">
        <v>0</v>
      </c>
      <c r="Q24" s="73">
        <v>21836.5</v>
      </c>
      <c r="R24" s="73"/>
      <c r="S24" s="73">
        <v>25326.91</v>
      </c>
      <c r="T24" s="73"/>
      <c r="U24" s="73">
        <v>22675.33</v>
      </c>
      <c r="V24" s="73">
        <v>75819.37</v>
      </c>
      <c r="W24" s="73">
        <v>42969.09</v>
      </c>
      <c r="X24" s="73">
        <v>25525.72</v>
      </c>
      <c r="Y24" s="73">
        <v>44505.19</v>
      </c>
      <c r="Z24" s="73"/>
      <c r="AA24" s="73">
        <v>90269.77</v>
      </c>
      <c r="AB24" s="71">
        <f t="shared" si="0"/>
        <v>282542.7</v>
      </c>
      <c r="AC24" s="88"/>
    </row>
    <row r="25" spans="1:30" s="76" customFormat="1" x14ac:dyDescent="0.35">
      <c r="A25" s="66" t="s">
        <v>40</v>
      </c>
      <c r="B25" s="67">
        <v>2309016.52</v>
      </c>
      <c r="C25" s="70">
        <v>26931</v>
      </c>
      <c r="D25" s="70">
        <v>2309016.52</v>
      </c>
      <c r="E25" s="70">
        <v>26036.799999999999</v>
      </c>
      <c r="F25" s="74">
        <v>0</v>
      </c>
      <c r="G25" s="70">
        <v>48708.92</v>
      </c>
      <c r="H25" s="70">
        <v>0</v>
      </c>
      <c r="I25" s="70">
        <v>16830.18</v>
      </c>
      <c r="J25" s="70"/>
      <c r="K25" s="70">
        <v>110857.44</v>
      </c>
      <c r="L25" s="73">
        <v>0</v>
      </c>
      <c r="M25" s="73">
        <v>127690.42</v>
      </c>
      <c r="N25" s="73"/>
      <c r="O25" s="73">
        <v>74824.55</v>
      </c>
      <c r="P25" s="73">
        <v>0</v>
      </c>
      <c r="Q25" s="73">
        <v>52830.85</v>
      </c>
      <c r="R25" s="73"/>
      <c r="S25" s="73">
        <v>68113.429999999993</v>
      </c>
      <c r="T25" s="73">
        <v>0</v>
      </c>
      <c r="U25" s="73">
        <v>50815.01</v>
      </c>
      <c r="V25" s="73"/>
      <c r="W25" s="73">
        <v>61830.01</v>
      </c>
      <c r="X25" s="73"/>
      <c r="Y25" s="73">
        <v>71002.27</v>
      </c>
      <c r="Z25" s="73"/>
      <c r="AA25" s="73">
        <v>62812.69</v>
      </c>
      <c r="AB25" s="71">
        <f t="shared" si="0"/>
        <v>745421.57000000007</v>
      </c>
      <c r="AC25" s="88"/>
    </row>
    <row r="26" spans="1:30" s="76" customFormat="1" x14ac:dyDescent="0.35">
      <c r="A26" s="66" t="s">
        <v>41</v>
      </c>
      <c r="B26" s="67">
        <v>0</v>
      </c>
      <c r="C26" s="70">
        <v>0</v>
      </c>
      <c r="D26" s="70">
        <v>0</v>
      </c>
      <c r="E26" s="70">
        <v>511443.83</v>
      </c>
      <c r="F26" s="74"/>
      <c r="G26" s="70">
        <v>516149.66</v>
      </c>
      <c r="H26" s="70">
        <f>746499.39+3008.7</f>
        <v>749508.09</v>
      </c>
      <c r="I26" s="70">
        <v>538513.11</v>
      </c>
      <c r="J26" s="70">
        <v>403634.33</v>
      </c>
      <c r="K26" s="70">
        <v>564900.18000000005</v>
      </c>
      <c r="L26" s="73"/>
      <c r="M26" s="73">
        <v>1060216.3899999999</v>
      </c>
      <c r="N26" s="73"/>
      <c r="O26" s="73">
        <v>664004.03</v>
      </c>
      <c r="P26" s="73">
        <v>0</v>
      </c>
      <c r="Q26" s="73">
        <v>835999.4</v>
      </c>
      <c r="R26" s="73">
        <v>1943934.33</v>
      </c>
      <c r="S26" s="73">
        <v>954311.31</v>
      </c>
      <c r="T26" s="73">
        <f>572818.31+544597.18+1434616.08</f>
        <v>2552031.5700000003</v>
      </c>
      <c r="U26" s="73">
        <v>889463.62</v>
      </c>
      <c r="V26" s="73"/>
      <c r="W26" s="73">
        <v>835012.96</v>
      </c>
      <c r="X26" s="73">
        <v>1182638.9099999999</v>
      </c>
      <c r="Y26" s="73">
        <v>1078663.21</v>
      </c>
      <c r="Z26" s="73">
        <f>639951.62+654561.42+1087801.89</f>
        <v>2382314.9299999997</v>
      </c>
      <c r="AA26" s="73">
        <v>1017821.97</v>
      </c>
      <c r="AB26" s="71">
        <f t="shared" si="0"/>
        <v>252437.51000000024</v>
      </c>
      <c r="AC26" s="88" t="s">
        <v>22</v>
      </c>
    </row>
    <row r="27" spans="1:30" s="72" customFormat="1" x14ac:dyDescent="0.35">
      <c r="A27" s="66" t="s">
        <v>42</v>
      </c>
      <c r="B27" s="67">
        <v>2242829.86</v>
      </c>
      <c r="C27" s="70">
        <v>871759.98</v>
      </c>
      <c r="D27" s="70">
        <v>230154.46</v>
      </c>
      <c r="E27" s="70">
        <v>260738.59</v>
      </c>
      <c r="F27" s="70">
        <v>0</v>
      </c>
      <c r="G27" s="70">
        <v>308950.24</v>
      </c>
      <c r="H27" s="70">
        <v>1338770.0900000001</v>
      </c>
      <c r="I27" s="70">
        <v>362274.87</v>
      </c>
      <c r="J27" s="70">
        <f>308950.24+362274.87</f>
        <v>671225.11</v>
      </c>
      <c r="K27" s="70">
        <v>375583.85</v>
      </c>
      <c r="L27" s="73">
        <v>375583.85</v>
      </c>
      <c r="M27" s="73">
        <v>444737.06</v>
      </c>
      <c r="N27" s="73"/>
      <c r="O27" s="73">
        <v>393122.36</v>
      </c>
      <c r="P27" s="73">
        <v>0</v>
      </c>
      <c r="Q27" s="73">
        <v>485214.57</v>
      </c>
      <c r="R27" s="73">
        <f>444737.06+393122.36</f>
        <v>837859.41999999993</v>
      </c>
      <c r="S27" s="73">
        <v>432848.62</v>
      </c>
      <c r="T27" s="73">
        <v>485214.57</v>
      </c>
      <c r="U27" s="73">
        <v>368261.34</v>
      </c>
      <c r="V27" s="73">
        <v>432848.62</v>
      </c>
      <c r="W27" s="73">
        <v>326069.7</v>
      </c>
      <c r="X27" s="73">
        <v>368261.34</v>
      </c>
      <c r="Y27" s="73">
        <v>372151.69</v>
      </c>
      <c r="Z27" s="73">
        <v>326069.7</v>
      </c>
      <c r="AA27" s="73">
        <v>442706.86</v>
      </c>
      <c r="AB27" s="71">
        <f t="shared" si="0"/>
        <v>877742.47</v>
      </c>
      <c r="AC27" s="88" t="s">
        <v>22</v>
      </c>
    </row>
    <row r="28" spans="1:30" s="72" customFormat="1" x14ac:dyDescent="0.35">
      <c r="A28" s="66" t="s">
        <v>43</v>
      </c>
      <c r="B28" s="67">
        <v>1797166.2600000002</v>
      </c>
      <c r="C28" s="70">
        <v>0</v>
      </c>
      <c r="D28" s="70">
        <v>0</v>
      </c>
      <c r="E28" s="70">
        <v>103327.59</v>
      </c>
      <c r="F28" s="70">
        <v>0</v>
      </c>
      <c r="G28" s="70">
        <v>103127.49</v>
      </c>
      <c r="H28" s="70"/>
      <c r="I28" s="70">
        <v>104635.35</v>
      </c>
      <c r="J28" s="70"/>
      <c r="K28" s="70">
        <v>106324.85</v>
      </c>
      <c r="L28" s="73">
        <v>0</v>
      </c>
      <c r="M28" s="73">
        <v>106629.72</v>
      </c>
      <c r="N28" s="73"/>
      <c r="O28" s="73">
        <v>103200.7</v>
      </c>
      <c r="P28" s="73">
        <v>0</v>
      </c>
      <c r="Q28" s="73">
        <v>106675.43</v>
      </c>
      <c r="R28" s="73"/>
      <c r="S28" s="73">
        <v>103683.27</v>
      </c>
      <c r="T28" s="73"/>
      <c r="U28" s="73">
        <v>109886.18</v>
      </c>
      <c r="V28" s="73"/>
      <c r="W28" s="73">
        <v>109886.18</v>
      </c>
      <c r="X28" s="73"/>
      <c r="Y28" s="73">
        <v>108731.05</v>
      </c>
      <c r="Z28" s="73"/>
      <c r="AA28" s="73">
        <v>115098.68</v>
      </c>
      <c r="AB28" s="71">
        <f t="shared" si="0"/>
        <v>3078372.7500000014</v>
      </c>
      <c r="AC28" s="88" t="s">
        <v>22</v>
      </c>
    </row>
    <row r="29" spans="1:30" s="72" customFormat="1" x14ac:dyDescent="0.35">
      <c r="A29" s="66" t="s">
        <v>44</v>
      </c>
      <c r="B29" s="67">
        <v>1727858.24</v>
      </c>
      <c r="C29" s="70">
        <f>608129.16</f>
        <v>608129.16</v>
      </c>
      <c r="D29" s="70">
        <v>0</v>
      </c>
      <c r="E29" s="70">
        <v>600234.94999999995</v>
      </c>
      <c r="F29" s="74">
        <f>1028422.54+600234.95</f>
        <v>1628657.49</v>
      </c>
      <c r="G29" s="70">
        <v>661147.93999999994</v>
      </c>
      <c r="H29" s="70">
        <f>305848.78</f>
        <v>305848.78000000003</v>
      </c>
      <c r="I29" s="70">
        <v>719106.22</v>
      </c>
      <c r="J29" s="70">
        <f>661147.94+719106.22</f>
        <v>1380254.16</v>
      </c>
      <c r="K29" s="70">
        <v>838888.49</v>
      </c>
      <c r="L29" s="73">
        <v>838888.49</v>
      </c>
      <c r="M29" s="73">
        <v>857157.1</v>
      </c>
      <c r="N29" s="73"/>
      <c r="O29" s="73">
        <v>765107.84</v>
      </c>
      <c r="P29" s="73">
        <v>0</v>
      </c>
      <c r="Q29" s="73">
        <v>834364.45</v>
      </c>
      <c r="R29" s="73">
        <v>857157.1</v>
      </c>
      <c r="S29" s="73">
        <v>763725.5</v>
      </c>
      <c r="T29" s="73">
        <v>765107.84</v>
      </c>
      <c r="U29" s="73">
        <v>809334.48</v>
      </c>
      <c r="V29" s="73"/>
      <c r="W29" s="73">
        <v>736630.35</v>
      </c>
      <c r="X29" s="73">
        <f>834364.54+763725.5+809334.48+736630.35</f>
        <v>3144054.87</v>
      </c>
      <c r="Y29" s="73">
        <v>1071958.3899999999</v>
      </c>
      <c r="Z29" s="73">
        <v>1071958.3899999999</v>
      </c>
      <c r="AA29" s="73">
        <v>1058054.2</v>
      </c>
      <c r="AB29" s="71">
        <f t="shared" si="0"/>
        <v>843511.86999999988</v>
      </c>
      <c r="AC29" s="88" t="s">
        <v>22</v>
      </c>
    </row>
    <row r="30" spans="1:30" s="72" customFormat="1" x14ac:dyDescent="0.35">
      <c r="A30" s="66" t="s">
        <v>45</v>
      </c>
      <c r="B30" s="67">
        <v>1675523.3099999998</v>
      </c>
      <c r="C30" s="70">
        <v>0</v>
      </c>
      <c r="D30" s="70">
        <v>139008.88</v>
      </c>
      <c r="E30" s="70">
        <v>20865.259999999998</v>
      </c>
      <c r="F30" s="70">
        <v>1231862.3899999999</v>
      </c>
      <c r="G30" s="70">
        <v>15750.19</v>
      </c>
      <c r="H30" s="70">
        <f>283075.87+20865.26</f>
        <v>303941.13</v>
      </c>
      <c r="I30" s="70">
        <v>24427.52</v>
      </c>
      <c r="J30" s="70">
        <v>0</v>
      </c>
      <c r="K30" s="70">
        <v>43587.040000000001</v>
      </c>
      <c r="L30" s="73">
        <v>0</v>
      </c>
      <c r="M30" s="73">
        <v>63101.68</v>
      </c>
      <c r="N30" s="73"/>
      <c r="O30" s="73">
        <v>24399.64</v>
      </c>
      <c r="P30" s="73">
        <v>0</v>
      </c>
      <c r="Q30" s="73">
        <v>14942.98</v>
      </c>
      <c r="R30" s="73"/>
      <c r="S30" s="73">
        <v>25965.24</v>
      </c>
      <c r="T30" s="73"/>
      <c r="U30" s="73">
        <v>36570.980000000003</v>
      </c>
      <c r="V30" s="73"/>
      <c r="W30" s="73">
        <v>31268.46</v>
      </c>
      <c r="X30" s="73">
        <v>170458.86</v>
      </c>
      <c r="Y30" s="73">
        <v>22466.77</v>
      </c>
      <c r="Z30" s="73">
        <f>25965.24+67839.44</f>
        <v>93804.680000000008</v>
      </c>
      <c r="AA30" s="73">
        <v>22066.35</v>
      </c>
      <c r="AB30" s="71">
        <f t="shared" si="0"/>
        <v>81859.479999999836</v>
      </c>
      <c r="AC30" s="88"/>
      <c r="AD30" s="90"/>
    </row>
    <row r="31" spans="1:30" s="72" customFormat="1" x14ac:dyDescent="0.35">
      <c r="A31" s="66" t="s">
        <v>46</v>
      </c>
      <c r="B31" s="67">
        <v>1474246.83</v>
      </c>
      <c r="C31" s="70">
        <f>205229.49+140731.67</f>
        <v>345961.16000000003</v>
      </c>
      <c r="D31" s="70">
        <v>1051642.23</v>
      </c>
      <c r="E31" s="70">
        <v>153077.9</v>
      </c>
      <c r="F31" s="74">
        <v>143657.84</v>
      </c>
      <c r="G31" s="70">
        <v>154154.31</v>
      </c>
      <c r="H31" s="70">
        <v>154154.34</v>
      </c>
      <c r="I31" s="70">
        <v>145421.07</v>
      </c>
      <c r="J31" s="70">
        <v>145421.07999999999</v>
      </c>
      <c r="K31" s="70">
        <v>157319.94</v>
      </c>
      <c r="L31" s="73">
        <v>0</v>
      </c>
      <c r="M31" s="73">
        <v>236034.26</v>
      </c>
      <c r="N31" s="73"/>
      <c r="O31" s="73">
        <v>147240.07999999999</v>
      </c>
      <c r="P31" s="73">
        <v>0</v>
      </c>
      <c r="Q31" s="73">
        <v>155151.16</v>
      </c>
      <c r="R31" s="73">
        <f>157319.96+233902.42+155151.16</f>
        <v>546373.54</v>
      </c>
      <c r="S31" s="73">
        <v>162673.57999999999</v>
      </c>
      <c r="T31" s="73">
        <v>162673.57999999999</v>
      </c>
      <c r="U31" s="73">
        <v>158158.88</v>
      </c>
      <c r="V31" s="73">
        <v>158158.38</v>
      </c>
      <c r="W31" s="73">
        <v>146744.79</v>
      </c>
      <c r="X31" s="73">
        <v>146744.78</v>
      </c>
      <c r="Y31" s="73">
        <v>272489.82</v>
      </c>
      <c r="Z31" s="73">
        <v>272489.78999999998</v>
      </c>
      <c r="AA31" s="73">
        <v>160830.07</v>
      </c>
      <c r="AB31" s="71">
        <f t="shared" si="0"/>
        <v>396265.97000000009</v>
      </c>
      <c r="AC31" s="88" t="s">
        <v>22</v>
      </c>
    </row>
    <row r="32" spans="1:30" s="72" customFormat="1" x14ac:dyDescent="0.35">
      <c r="A32" s="66" t="s">
        <v>47</v>
      </c>
      <c r="B32" s="67">
        <v>1208590.5900000001</v>
      </c>
      <c r="C32" s="70">
        <v>0</v>
      </c>
      <c r="D32" s="70">
        <v>0</v>
      </c>
      <c r="E32" s="70">
        <v>330578.44</v>
      </c>
      <c r="F32" s="70">
        <v>0</v>
      </c>
      <c r="G32" s="70">
        <v>352651.3</v>
      </c>
      <c r="H32" s="70"/>
      <c r="I32" s="70">
        <v>379572.25</v>
      </c>
      <c r="J32" s="70">
        <f>562910.16+683229.74</f>
        <v>1246139.8999999999</v>
      </c>
      <c r="K32" s="70">
        <v>380398.71</v>
      </c>
      <c r="L32" s="73">
        <v>379572.25</v>
      </c>
      <c r="M32" s="73">
        <v>406195.59</v>
      </c>
      <c r="N32" s="73">
        <v>235009.16</v>
      </c>
      <c r="O32" s="73">
        <v>356331.33</v>
      </c>
      <c r="P32" s="73">
        <v>380398.71</v>
      </c>
      <c r="Q32" s="73">
        <v>395880.11</v>
      </c>
      <c r="R32" s="73">
        <f>394088.18+406195.59+752211.44</f>
        <v>1552495.21</v>
      </c>
      <c r="S32" s="73">
        <v>405995.13</v>
      </c>
      <c r="T32" s="73"/>
      <c r="U32" s="73">
        <v>408660.19</v>
      </c>
      <c r="V32" s="73"/>
      <c r="W32" s="73">
        <v>384016.69</v>
      </c>
      <c r="X32" s="73">
        <v>405995.13</v>
      </c>
      <c r="Y32" s="73">
        <v>454582.98</v>
      </c>
      <c r="Z32" s="73">
        <f>787330.58+454582.98</f>
        <v>1241913.56</v>
      </c>
      <c r="AA32" s="73">
        <v>575067.85</v>
      </c>
      <c r="AB32" s="71">
        <f t="shared" si="0"/>
        <v>596997.24000000011</v>
      </c>
      <c r="AC32" s="88" t="s">
        <v>22</v>
      </c>
    </row>
    <row r="33" spans="1:29" s="72" customFormat="1" x14ac:dyDescent="0.35">
      <c r="A33" s="66" t="s">
        <v>48</v>
      </c>
      <c r="B33" s="67">
        <v>1370290.85</v>
      </c>
      <c r="C33" s="70">
        <v>0</v>
      </c>
      <c r="D33" s="70">
        <v>0</v>
      </c>
      <c r="E33" s="70">
        <v>276212.19</v>
      </c>
      <c r="F33" s="70">
        <v>0</v>
      </c>
      <c r="G33" s="70">
        <v>275841.84000000003</v>
      </c>
      <c r="H33" s="70">
        <f>602244.82+165975.8</f>
        <v>768220.61999999988</v>
      </c>
      <c r="I33" s="70">
        <v>330802.84000000003</v>
      </c>
      <c r="J33" s="70">
        <f>552054.03+330802.84</f>
        <v>882856.87000000011</v>
      </c>
      <c r="K33" s="70">
        <v>257912.62</v>
      </c>
      <c r="L33" s="73">
        <v>0</v>
      </c>
      <c r="M33" s="73">
        <v>261390.89</v>
      </c>
      <c r="N33" s="73"/>
      <c r="O33" s="73">
        <v>232892.33</v>
      </c>
      <c r="P33" s="73">
        <v>0</v>
      </c>
      <c r="Q33" s="73">
        <v>254939.19</v>
      </c>
      <c r="R33" s="73"/>
      <c r="S33" s="73">
        <v>230019.81</v>
      </c>
      <c r="T33" s="73"/>
      <c r="U33" s="73">
        <v>218212.2</v>
      </c>
      <c r="V33" s="73"/>
      <c r="W33" s="73">
        <v>217591.16</v>
      </c>
      <c r="X33" s="73"/>
      <c r="Y33" s="73">
        <v>292106.83</v>
      </c>
      <c r="Z33" s="73"/>
      <c r="AA33" s="73">
        <v>383763.04</v>
      </c>
      <c r="AB33" s="71">
        <f t="shared" si="0"/>
        <v>2950898.3000000003</v>
      </c>
      <c r="AC33" s="88"/>
    </row>
    <row r="34" spans="1:29" s="72" customFormat="1" x14ac:dyDescent="0.35">
      <c r="A34" s="66" t="s">
        <v>49</v>
      </c>
      <c r="B34" s="67">
        <v>1135150.95</v>
      </c>
      <c r="C34" s="70">
        <v>0</v>
      </c>
      <c r="D34" s="70">
        <v>0</v>
      </c>
      <c r="E34" s="70">
        <v>43704.94</v>
      </c>
      <c r="F34" s="74">
        <v>506646.27</v>
      </c>
      <c r="G34" s="70">
        <v>52330.89</v>
      </c>
      <c r="H34" s="70"/>
      <c r="I34" s="70">
        <v>49981.73</v>
      </c>
      <c r="J34" s="70"/>
      <c r="K34" s="70">
        <v>51928.32</v>
      </c>
      <c r="L34" s="73">
        <v>0</v>
      </c>
      <c r="M34" s="73">
        <v>54887.21</v>
      </c>
      <c r="N34" s="73"/>
      <c r="O34" s="73">
        <v>44711.24</v>
      </c>
      <c r="P34" s="73">
        <v>478328.63</v>
      </c>
      <c r="Q34" s="73">
        <v>50598.44</v>
      </c>
      <c r="R34" s="73"/>
      <c r="S34" s="73">
        <v>50549.9</v>
      </c>
      <c r="T34" s="73"/>
      <c r="U34" s="73">
        <v>47789.86</v>
      </c>
      <c r="V34" s="73"/>
      <c r="W34" s="73">
        <v>47213.89</v>
      </c>
      <c r="X34" s="73">
        <v>295750.53999999998</v>
      </c>
      <c r="Y34" s="73">
        <v>77380.03</v>
      </c>
      <c r="Z34" s="73"/>
      <c r="AA34" s="73">
        <v>56205.06</v>
      </c>
      <c r="AB34" s="71">
        <f t="shared" si="0"/>
        <v>481707.01999999973</v>
      </c>
      <c r="AC34" s="88"/>
    </row>
    <row r="35" spans="1:29" s="72" customFormat="1" x14ac:dyDescent="0.35">
      <c r="A35" s="66" t="s">
        <v>50</v>
      </c>
      <c r="B35" s="67">
        <v>1038852.74</v>
      </c>
      <c r="C35" s="70">
        <v>873650.76</v>
      </c>
      <c r="D35" s="70">
        <v>0</v>
      </c>
      <c r="E35" s="70">
        <v>159693</v>
      </c>
      <c r="F35" s="74">
        <f>91725.37+191247.69+36804.61+970</f>
        <v>320747.67</v>
      </c>
      <c r="G35" s="70">
        <v>149230.1</v>
      </c>
      <c r="H35" s="70">
        <v>11709.34</v>
      </c>
      <c r="I35" s="70">
        <v>144290.19</v>
      </c>
      <c r="J35" s="70">
        <f>16529.64+81490.36+43191.27</f>
        <v>141211.26999999999</v>
      </c>
      <c r="K35" s="70">
        <v>152793.15</v>
      </c>
      <c r="L35" s="73">
        <f>45754.08+192190.91+7828.51</f>
        <v>245773.5</v>
      </c>
      <c r="M35" s="73">
        <v>198383.39</v>
      </c>
      <c r="N35" s="73"/>
      <c r="O35" s="73">
        <v>165791.73000000001</v>
      </c>
      <c r="P35" s="73">
        <v>45342.37</v>
      </c>
      <c r="Q35" s="73">
        <v>154896.94</v>
      </c>
      <c r="R35" s="73"/>
      <c r="S35" s="73">
        <v>153463.76999999999</v>
      </c>
      <c r="T35" s="73">
        <v>151178.03</v>
      </c>
      <c r="U35" s="73">
        <v>144817.87</v>
      </c>
      <c r="V35" s="73">
        <f>105808.41+365194.2+193993.48</f>
        <v>664996.09</v>
      </c>
      <c r="W35" s="73">
        <v>152322.57</v>
      </c>
      <c r="X35" s="73">
        <f>42569.34+87938.36</f>
        <v>130507.7</v>
      </c>
      <c r="Y35" s="73">
        <v>165201.98000000001</v>
      </c>
      <c r="Z35" s="73">
        <v>52141.17</v>
      </c>
      <c r="AA35" s="73">
        <v>176648.44</v>
      </c>
      <c r="AB35" s="71">
        <f t="shared" si="0"/>
        <v>319127.97000000015</v>
      </c>
      <c r="AC35" s="88" t="s">
        <v>22</v>
      </c>
    </row>
    <row r="36" spans="1:29" s="72" customFormat="1" x14ac:dyDescent="0.35">
      <c r="A36" s="66" t="s">
        <v>51</v>
      </c>
      <c r="B36" s="67">
        <v>0</v>
      </c>
      <c r="C36" s="70">
        <v>245520</v>
      </c>
      <c r="D36" s="70">
        <v>0</v>
      </c>
      <c r="E36" s="70">
        <v>245520</v>
      </c>
      <c r="F36" s="74">
        <v>245520</v>
      </c>
      <c r="G36" s="70">
        <v>245520</v>
      </c>
      <c r="H36" s="70"/>
      <c r="I36" s="70">
        <v>245520</v>
      </c>
      <c r="J36" s="70">
        <v>245520</v>
      </c>
      <c r="K36" s="70">
        <v>245520</v>
      </c>
      <c r="L36" s="73">
        <v>245520</v>
      </c>
      <c r="M36" s="73">
        <v>245520</v>
      </c>
      <c r="N36" s="73">
        <v>245520</v>
      </c>
      <c r="O36" s="73">
        <v>245520</v>
      </c>
      <c r="P36" s="73">
        <v>245520</v>
      </c>
      <c r="Q36" s="73">
        <v>245520</v>
      </c>
      <c r="R36" s="73">
        <v>245520</v>
      </c>
      <c r="S36" s="73">
        <v>245520</v>
      </c>
      <c r="T36" s="73">
        <v>245520</v>
      </c>
      <c r="U36" s="73">
        <v>245520</v>
      </c>
      <c r="V36" s="73">
        <v>245520</v>
      </c>
      <c r="W36" s="73">
        <v>245520</v>
      </c>
      <c r="X36" s="73"/>
      <c r="Y36" s="73">
        <v>245520</v>
      </c>
      <c r="Z36" s="73">
        <v>491040</v>
      </c>
      <c r="AA36" s="73">
        <v>245520</v>
      </c>
      <c r="AB36" s="71">
        <f t="shared" si="0"/>
        <v>245520</v>
      </c>
      <c r="AC36" s="88" t="s">
        <v>22</v>
      </c>
    </row>
    <row r="37" spans="1:29" s="72" customFormat="1" x14ac:dyDescent="0.35">
      <c r="A37" s="66" t="s">
        <v>52</v>
      </c>
      <c r="B37" s="67">
        <v>944131.95</v>
      </c>
      <c r="C37" s="70">
        <v>0</v>
      </c>
      <c r="D37" s="70">
        <v>0</v>
      </c>
      <c r="E37" s="70">
        <v>6999.63</v>
      </c>
      <c r="F37" s="70">
        <v>0</v>
      </c>
      <c r="G37" s="70">
        <v>0</v>
      </c>
      <c r="H37" s="70"/>
      <c r="I37" s="70">
        <v>0</v>
      </c>
      <c r="J37" s="70"/>
      <c r="K37" s="70">
        <v>73542.929999999993</v>
      </c>
      <c r="L37" s="73">
        <v>0</v>
      </c>
      <c r="M37" s="73">
        <v>0</v>
      </c>
      <c r="N37" s="73"/>
      <c r="O37" s="73">
        <v>7821.87</v>
      </c>
      <c r="P37" s="73">
        <v>0</v>
      </c>
      <c r="Q37" s="73">
        <v>7913.11</v>
      </c>
      <c r="R37" s="73"/>
      <c r="S37" s="73">
        <v>1151.03</v>
      </c>
      <c r="T37" s="73"/>
      <c r="U37" s="73">
        <v>0</v>
      </c>
      <c r="V37" s="73"/>
      <c r="W37" s="73">
        <v>0</v>
      </c>
      <c r="X37" s="73"/>
      <c r="Y37" s="73">
        <v>0</v>
      </c>
      <c r="Z37" s="73"/>
      <c r="AA37" s="73">
        <v>0</v>
      </c>
      <c r="AB37" s="71">
        <f t="shared" si="0"/>
        <v>1041560.52</v>
      </c>
      <c r="AC37" s="88"/>
    </row>
    <row r="38" spans="1:29" s="72" customFormat="1" x14ac:dyDescent="0.35">
      <c r="A38" s="66" t="s">
        <v>53</v>
      </c>
      <c r="B38" s="67">
        <v>899259.14999999991</v>
      </c>
      <c r="C38" s="70">
        <v>0</v>
      </c>
      <c r="D38" s="70">
        <v>0</v>
      </c>
      <c r="E38" s="70">
        <v>253182.81</v>
      </c>
      <c r="F38" s="74">
        <v>285984.03999999998</v>
      </c>
      <c r="G38" s="70">
        <v>306764.34999999998</v>
      </c>
      <c r="H38" s="70">
        <v>253182.81</v>
      </c>
      <c r="I38" s="70">
        <v>284448.38</v>
      </c>
      <c r="J38" s="70">
        <v>306764.34999999998</v>
      </c>
      <c r="K38" s="70">
        <v>649002.61</v>
      </c>
      <c r="L38" s="73">
        <v>284448.38</v>
      </c>
      <c r="M38" s="73">
        <v>640294.89</v>
      </c>
      <c r="N38" s="73"/>
      <c r="O38" s="73">
        <v>809824.72</v>
      </c>
      <c r="P38" s="73">
        <v>393586.92</v>
      </c>
      <c r="Q38" s="73">
        <v>970134.24</v>
      </c>
      <c r="R38" s="73"/>
      <c r="S38" s="73">
        <v>1094750.57</v>
      </c>
      <c r="T38" s="73">
        <f>970134.24+809824.72+649002.61+640294.89</f>
        <v>3069256.46</v>
      </c>
      <c r="U38" s="73">
        <v>1026238.41</v>
      </c>
      <c r="V38" s="73"/>
      <c r="W38" s="73">
        <v>1075346.1599999999</v>
      </c>
      <c r="X38" s="73"/>
      <c r="Y38" s="73">
        <v>1218990.76</v>
      </c>
      <c r="Z38" s="73"/>
      <c r="AA38" s="73">
        <v>1243422.27</v>
      </c>
      <c r="AB38" s="71">
        <f t="shared" si="0"/>
        <v>5878436.3600000013</v>
      </c>
      <c r="AC38" s="88"/>
    </row>
    <row r="39" spans="1:29" s="72" customFormat="1" x14ac:dyDescent="0.35">
      <c r="A39" s="66" t="s">
        <v>54</v>
      </c>
      <c r="B39" s="67">
        <v>888128.79</v>
      </c>
      <c r="C39" s="70">
        <v>0</v>
      </c>
      <c r="D39" s="70">
        <v>0</v>
      </c>
      <c r="E39" s="70">
        <v>1752.85</v>
      </c>
      <c r="F39" s="70">
        <v>0</v>
      </c>
      <c r="G39" s="70">
        <v>1759.13</v>
      </c>
      <c r="H39" s="70"/>
      <c r="I39" s="70">
        <v>20663.580000000002</v>
      </c>
      <c r="J39" s="70"/>
      <c r="K39" s="70">
        <v>0</v>
      </c>
      <c r="L39" s="73">
        <v>0</v>
      </c>
      <c r="M39" s="73">
        <v>0</v>
      </c>
      <c r="N39" s="73"/>
      <c r="O39" s="73">
        <v>0</v>
      </c>
      <c r="P39" s="73">
        <v>0</v>
      </c>
      <c r="Q39" s="73">
        <v>0</v>
      </c>
      <c r="R39" s="73"/>
      <c r="S39" s="73">
        <v>3792.81</v>
      </c>
      <c r="T39" s="73"/>
      <c r="U39" s="73">
        <v>0</v>
      </c>
      <c r="V39" s="73"/>
      <c r="W39" s="73">
        <v>0</v>
      </c>
      <c r="X39" s="73"/>
      <c r="Y39" s="73">
        <v>0</v>
      </c>
      <c r="Z39" s="73"/>
      <c r="AA39" s="73">
        <v>0</v>
      </c>
      <c r="AB39" s="71">
        <f t="shared" si="0"/>
        <v>916097.16</v>
      </c>
      <c r="AC39" s="88"/>
    </row>
    <row r="40" spans="1:29" s="72" customFormat="1" x14ac:dyDescent="0.35">
      <c r="A40" s="66" t="s">
        <v>55</v>
      </c>
      <c r="B40" s="67">
        <v>854855.09999999986</v>
      </c>
      <c r="C40" s="70">
        <f>109999.25+657147</f>
        <v>767146.25</v>
      </c>
      <c r="D40" s="70">
        <v>0</v>
      </c>
      <c r="E40" s="70">
        <v>3504.54</v>
      </c>
      <c r="F40" s="74">
        <f>159977.96</f>
        <v>159977.96</v>
      </c>
      <c r="G40" s="70">
        <v>0</v>
      </c>
      <c r="H40" s="70"/>
      <c r="I40" s="70">
        <v>0</v>
      </c>
      <c r="J40" s="70"/>
      <c r="K40" s="70">
        <v>0</v>
      </c>
      <c r="L40" s="73">
        <v>0</v>
      </c>
      <c r="M40" s="73">
        <v>0</v>
      </c>
      <c r="N40" s="73"/>
      <c r="O40" s="73">
        <v>0</v>
      </c>
      <c r="P40" s="73">
        <v>0</v>
      </c>
      <c r="Q40" s="73">
        <v>0</v>
      </c>
      <c r="R40" s="73"/>
      <c r="S40" s="73">
        <v>0</v>
      </c>
      <c r="T40" s="73"/>
      <c r="U40" s="73">
        <v>0</v>
      </c>
      <c r="V40" s="73"/>
      <c r="W40" s="73">
        <v>0</v>
      </c>
      <c r="X40" s="73"/>
      <c r="Y40" s="73">
        <v>0</v>
      </c>
      <c r="Z40" s="73"/>
      <c r="AA40" s="73">
        <v>0</v>
      </c>
      <c r="AB40" s="71">
        <f t="shared" si="0"/>
        <v>-68764.570000000138</v>
      </c>
      <c r="AC40" s="88"/>
    </row>
    <row r="41" spans="1:29" s="72" customFormat="1" x14ac:dyDescent="0.35">
      <c r="A41" s="66" t="s">
        <v>56</v>
      </c>
      <c r="B41" s="67">
        <v>829009.53</v>
      </c>
      <c r="C41" s="70">
        <v>0</v>
      </c>
      <c r="D41" s="70">
        <v>0</v>
      </c>
      <c r="E41" s="70">
        <v>42326.95</v>
      </c>
      <c r="F41" s="70">
        <v>0</v>
      </c>
      <c r="G41" s="70">
        <v>42381.36</v>
      </c>
      <c r="H41" s="70"/>
      <c r="I41" s="70">
        <v>45904.85</v>
      </c>
      <c r="J41" s="70">
        <v>401783.26</v>
      </c>
      <c r="K41" s="70">
        <v>53242.879999999997</v>
      </c>
      <c r="L41" s="73">
        <v>0</v>
      </c>
      <c r="M41" s="73">
        <v>43319.49</v>
      </c>
      <c r="N41" s="73"/>
      <c r="O41" s="73">
        <v>47049.95</v>
      </c>
      <c r="P41" s="73">
        <v>0</v>
      </c>
      <c r="Q41" s="73">
        <v>44349.36</v>
      </c>
      <c r="R41" s="73"/>
      <c r="S41" s="73">
        <v>42927.24</v>
      </c>
      <c r="T41" s="73">
        <v>350209.08</v>
      </c>
      <c r="U41" s="73">
        <v>40396.79</v>
      </c>
      <c r="V41" s="73"/>
      <c r="W41" s="73">
        <v>39294.400000000001</v>
      </c>
      <c r="X41" s="73">
        <v>219180.79999999999</v>
      </c>
      <c r="Y41" s="73">
        <v>51829.88</v>
      </c>
      <c r="Z41" s="73"/>
      <c r="AA41" s="73">
        <v>49507.79</v>
      </c>
      <c r="AB41" s="71">
        <f t="shared" si="0"/>
        <v>400367.32999999984</v>
      </c>
      <c r="AC41" s="88"/>
    </row>
    <row r="42" spans="1:29" s="72" customFormat="1" x14ac:dyDescent="0.35">
      <c r="A42" s="66" t="s">
        <v>57</v>
      </c>
      <c r="B42" s="67">
        <v>792211.86</v>
      </c>
      <c r="C42" s="70">
        <v>0</v>
      </c>
      <c r="D42" s="70">
        <v>0</v>
      </c>
      <c r="E42" s="70">
        <v>392831.44</v>
      </c>
      <c r="F42" s="74">
        <v>792415.86</v>
      </c>
      <c r="G42" s="70">
        <v>420025.16</v>
      </c>
      <c r="H42" s="70">
        <f>392415.86+420025.16</f>
        <v>812441.02</v>
      </c>
      <c r="I42" s="70">
        <v>464772.16</v>
      </c>
      <c r="J42" s="70">
        <v>464772.16</v>
      </c>
      <c r="K42" s="70">
        <v>434163.79</v>
      </c>
      <c r="L42" s="73">
        <v>434163.79</v>
      </c>
      <c r="M42" s="73">
        <v>724810.2</v>
      </c>
      <c r="N42" s="73"/>
      <c r="O42" s="73">
        <v>437307.59</v>
      </c>
      <c r="P42" s="73">
        <v>0</v>
      </c>
      <c r="Q42" s="73">
        <v>396257.08</v>
      </c>
      <c r="R42" s="73">
        <f>396257.08+1162117.79</f>
        <v>1558374.87</v>
      </c>
      <c r="S42" s="73">
        <v>429282.89</v>
      </c>
      <c r="T42" s="73">
        <v>429282.89</v>
      </c>
      <c r="U42" s="73">
        <v>433176.05</v>
      </c>
      <c r="V42" s="73"/>
      <c r="W42" s="73">
        <v>404992.24</v>
      </c>
      <c r="X42" s="73">
        <f>433176.05+404992.24</f>
        <v>838168.29</v>
      </c>
      <c r="Y42" s="73">
        <v>508201.36</v>
      </c>
      <c r="Z42" s="73"/>
      <c r="AA42" s="73">
        <v>466155.48</v>
      </c>
      <c r="AB42" s="71">
        <f t="shared" si="0"/>
        <v>974568.42</v>
      </c>
      <c r="AC42" s="88"/>
    </row>
    <row r="43" spans="1:29" s="72" customFormat="1" x14ac:dyDescent="0.35">
      <c r="A43" s="66" t="s">
        <v>58</v>
      </c>
      <c r="B43" s="67">
        <v>538512.31000000006</v>
      </c>
      <c r="C43" s="70">
        <v>0</v>
      </c>
      <c r="D43" s="70">
        <v>0</v>
      </c>
      <c r="E43" s="70">
        <v>276201.65999999997</v>
      </c>
      <c r="F43" s="70">
        <v>0</v>
      </c>
      <c r="G43" s="70">
        <v>267040.15999999997</v>
      </c>
      <c r="H43" s="70"/>
      <c r="I43" s="70">
        <v>265896.40000000002</v>
      </c>
      <c r="J43" s="70">
        <f>364718.11+489366.43</f>
        <v>854084.54</v>
      </c>
      <c r="K43" s="70">
        <v>270580.32</v>
      </c>
      <c r="L43" s="73">
        <v>0</v>
      </c>
      <c r="M43" s="73">
        <v>358066.75</v>
      </c>
      <c r="N43" s="73">
        <f>265896.4+267040.16</f>
        <v>532936.56000000006</v>
      </c>
      <c r="O43" s="73">
        <v>235477.9</v>
      </c>
      <c r="P43" s="73">
        <v>269700.76</v>
      </c>
      <c r="Q43" s="73">
        <v>211799.69</v>
      </c>
      <c r="R43" s="73"/>
      <c r="S43" s="73">
        <v>240777.17</v>
      </c>
      <c r="T43" s="73"/>
      <c r="U43" s="73">
        <v>254803.59</v>
      </c>
      <c r="V43" s="73">
        <v>446091.14</v>
      </c>
      <c r="W43" s="73">
        <v>237148.48</v>
      </c>
      <c r="X43" s="73">
        <v>240777.17</v>
      </c>
      <c r="Y43" s="73">
        <v>283264.98</v>
      </c>
      <c r="Z43" s="73"/>
      <c r="AA43" s="73">
        <v>232888.12</v>
      </c>
      <c r="AB43" s="71">
        <f t="shared" si="0"/>
        <v>1328867.3599999999</v>
      </c>
      <c r="AC43" s="88"/>
    </row>
    <row r="44" spans="1:29" s="72" customFormat="1" x14ac:dyDescent="0.35">
      <c r="A44" s="66" t="s">
        <v>59</v>
      </c>
      <c r="B44" s="67">
        <v>652283.02</v>
      </c>
      <c r="C44" s="70">
        <v>0</v>
      </c>
      <c r="D44" s="70">
        <v>264036.78999999998</v>
      </c>
      <c r="E44" s="70">
        <v>132586.48000000001</v>
      </c>
      <c r="F44" s="70">
        <v>0</v>
      </c>
      <c r="G44" s="70">
        <v>124263.38</v>
      </c>
      <c r="H44" s="70"/>
      <c r="I44" s="70">
        <v>115256.28</v>
      </c>
      <c r="J44" s="70">
        <f>41159.29+134552.34+88117.28+60255.93</f>
        <v>324084.84000000003</v>
      </c>
      <c r="K44" s="70">
        <v>89581.9</v>
      </c>
      <c r="L44" s="73">
        <v>132586.48000000001</v>
      </c>
      <c r="M44" s="73">
        <v>218246.84</v>
      </c>
      <c r="N44" s="73">
        <v>124263.38</v>
      </c>
      <c r="O44" s="73">
        <v>126235.53</v>
      </c>
      <c r="P44" s="73">
        <f>115256.28+89581.9</f>
        <v>204838.18</v>
      </c>
      <c r="Q44" s="73">
        <v>97185.91</v>
      </c>
      <c r="R44" s="73"/>
      <c r="S44" s="73">
        <v>93679.679999999993</v>
      </c>
      <c r="T44" s="73">
        <f>218246.84+126235.53+97185.91+93679.68</f>
        <v>535347.96</v>
      </c>
      <c r="U44" s="73">
        <v>93369.8</v>
      </c>
      <c r="V44" s="73"/>
      <c r="W44" s="73">
        <v>93369.8</v>
      </c>
      <c r="X44" s="73">
        <v>93369.8</v>
      </c>
      <c r="Y44" s="73">
        <v>216759.51</v>
      </c>
      <c r="Z44" s="73">
        <f>216759.51+65560.1</f>
        <v>282319.61</v>
      </c>
      <c r="AA44" s="73">
        <v>96619.53</v>
      </c>
      <c r="AB44" s="71">
        <f t="shared" si="0"/>
        <v>188590.62000000014</v>
      </c>
      <c r="AC44" s="88" t="s">
        <v>22</v>
      </c>
    </row>
    <row r="45" spans="1:29" s="76" customFormat="1" x14ac:dyDescent="0.35">
      <c r="A45" s="66" t="s">
        <v>60</v>
      </c>
      <c r="B45" s="67">
        <v>648496.9</v>
      </c>
      <c r="C45" s="70">
        <v>0</v>
      </c>
      <c r="D45" s="70">
        <v>0</v>
      </c>
      <c r="E45" s="70">
        <v>436860.53</v>
      </c>
      <c r="F45" s="74">
        <v>677518.04</v>
      </c>
      <c r="G45" s="70">
        <v>432196.38</v>
      </c>
      <c r="H45" s="70">
        <v>79786.2</v>
      </c>
      <c r="I45" s="70">
        <v>560577.79</v>
      </c>
      <c r="J45" s="70">
        <v>407121.24</v>
      </c>
      <c r="K45" s="70">
        <v>431890.4</v>
      </c>
      <c r="L45" s="73">
        <v>408303.95</v>
      </c>
      <c r="M45" s="73">
        <v>605645.06999999995</v>
      </c>
      <c r="N45" s="73"/>
      <c r="O45" s="73">
        <v>445740.3</v>
      </c>
      <c r="P45" s="73">
        <v>0</v>
      </c>
      <c r="Q45" s="73">
        <v>432468.96</v>
      </c>
      <c r="R45" s="73">
        <f>416951.78+507352.47</f>
        <v>924304.25</v>
      </c>
      <c r="S45" s="73">
        <v>529038.89</v>
      </c>
      <c r="T45" s="73">
        <f>604896.11+429282.89</f>
        <v>1034179</v>
      </c>
      <c r="U45" s="73">
        <v>417238.71</v>
      </c>
      <c r="V45" s="73">
        <f>432234.55+528925.47</f>
        <v>961160.02</v>
      </c>
      <c r="W45" s="73">
        <v>429278.71</v>
      </c>
      <c r="X45" s="73">
        <v>417238.71</v>
      </c>
      <c r="Y45" s="73">
        <v>460180.97</v>
      </c>
      <c r="Z45" s="73">
        <v>429278.71</v>
      </c>
      <c r="AA45" s="73">
        <v>526814.65</v>
      </c>
      <c r="AB45" s="71">
        <f t="shared" si="0"/>
        <v>1017538.1400000008</v>
      </c>
      <c r="AC45" s="88" t="s">
        <v>22</v>
      </c>
    </row>
    <row r="46" spans="1:29" s="76" customFormat="1" x14ac:dyDescent="0.35">
      <c r="A46" s="66" t="s">
        <v>61</v>
      </c>
      <c r="B46" s="67">
        <v>0</v>
      </c>
      <c r="C46" s="70">
        <v>0</v>
      </c>
      <c r="D46" s="70">
        <v>0</v>
      </c>
      <c r="E46" s="70">
        <v>57766.28</v>
      </c>
      <c r="F46" s="70">
        <v>0</v>
      </c>
      <c r="G46" s="70">
        <v>63400.91</v>
      </c>
      <c r="H46" s="70"/>
      <c r="I46" s="70">
        <v>68224.58</v>
      </c>
      <c r="J46" s="70"/>
      <c r="K46" s="70">
        <v>63454.21</v>
      </c>
      <c r="L46" s="73">
        <f>45827.77+344.74+5326.05+14261.16+50235+13072.43+7640.18+85968.24+39430+40048.24+10335.3+2787.34</f>
        <v>315276.45</v>
      </c>
      <c r="M46" s="73">
        <v>81773.490000000005</v>
      </c>
      <c r="N46" s="73">
        <v>22385.69</v>
      </c>
      <c r="O46" s="73">
        <v>76878.23</v>
      </c>
      <c r="P46" s="73">
        <v>0</v>
      </c>
      <c r="Q46" s="73">
        <v>84749</v>
      </c>
      <c r="R46" s="73">
        <f>59007.5+449.65+7691.57+6018.9+26845.72+50061.6+6286.65+120+67933.75</f>
        <v>224415.34</v>
      </c>
      <c r="S46" s="73">
        <v>85882.98</v>
      </c>
      <c r="T46" s="73">
        <f>9324.22+5488</f>
        <v>14812.22</v>
      </c>
      <c r="U46" s="73">
        <v>79920.850000000006</v>
      </c>
      <c r="V46" s="73">
        <f>33515.24+28582.8+12063.84</f>
        <v>74161.87999999999</v>
      </c>
      <c r="W46" s="73">
        <v>79920.850000000006</v>
      </c>
      <c r="X46" s="73">
        <f>22067+16030.27+27773+263.5+22067+43429.12</f>
        <v>131629.89000000001</v>
      </c>
      <c r="Y46" s="73">
        <v>109312.87</v>
      </c>
      <c r="Z46" s="73">
        <f>5887.5+5555+29910.66+6353.1+76834.35+1229.93+4083.11</f>
        <v>129853.65000000001</v>
      </c>
      <c r="AA46" s="73">
        <v>91842.98</v>
      </c>
      <c r="AB46" s="77">
        <f t="shared" si="0"/>
        <v>30592.109999999986</v>
      </c>
      <c r="AC46" s="88" t="s">
        <v>22</v>
      </c>
    </row>
    <row r="47" spans="1:29" s="72" customFormat="1" x14ac:dyDescent="0.35">
      <c r="A47" s="66" t="s">
        <v>62</v>
      </c>
      <c r="B47" s="67">
        <v>605986.93000000005</v>
      </c>
      <c r="C47" s="70">
        <v>0</v>
      </c>
      <c r="D47" s="70">
        <v>0</v>
      </c>
      <c r="E47" s="70">
        <v>54229.16</v>
      </c>
      <c r="F47" s="70">
        <v>0</v>
      </c>
      <c r="G47" s="70">
        <v>56866.14</v>
      </c>
      <c r="H47" s="70"/>
      <c r="I47" s="70">
        <v>51757.18</v>
      </c>
      <c r="J47" s="70"/>
      <c r="K47" s="70">
        <v>48244.639999999999</v>
      </c>
      <c r="L47" s="73">
        <v>0</v>
      </c>
      <c r="M47" s="73">
        <v>52372.66</v>
      </c>
      <c r="N47" s="73">
        <v>227166.96</v>
      </c>
      <c r="O47" s="73">
        <v>47215.53</v>
      </c>
      <c r="P47" s="73">
        <v>0</v>
      </c>
      <c r="Q47" s="73">
        <v>50128.54</v>
      </c>
      <c r="R47" s="73">
        <v>32053.96</v>
      </c>
      <c r="S47" s="73">
        <v>49255.03</v>
      </c>
      <c r="T47" s="73"/>
      <c r="U47" s="73">
        <v>48599.81</v>
      </c>
      <c r="V47" s="73">
        <v>75654.91</v>
      </c>
      <c r="W47" s="73">
        <v>48599.81</v>
      </c>
      <c r="X47" s="73">
        <v>76770.850000000006</v>
      </c>
      <c r="Y47" s="73">
        <v>46118.41</v>
      </c>
      <c r="Z47" s="73">
        <v>35807.17</v>
      </c>
      <c r="AA47" s="73">
        <v>50425.82</v>
      </c>
      <c r="AB47" s="71">
        <f t="shared" si="0"/>
        <v>762345.81000000029</v>
      </c>
      <c r="AC47" s="88" t="s">
        <v>22</v>
      </c>
    </row>
    <row r="48" spans="1:29" s="72" customFormat="1" x14ac:dyDescent="0.35">
      <c r="A48" s="66" t="s">
        <v>63</v>
      </c>
      <c r="B48" s="67">
        <v>533005.06000000006</v>
      </c>
      <c r="C48" s="70">
        <v>0</v>
      </c>
      <c r="D48" s="70">
        <v>0</v>
      </c>
      <c r="E48" s="70">
        <v>93964.72</v>
      </c>
      <c r="F48" s="70">
        <v>0</v>
      </c>
      <c r="G48" s="70">
        <v>114521.95</v>
      </c>
      <c r="H48" s="70"/>
      <c r="I48" s="70">
        <v>122776.49</v>
      </c>
      <c r="J48" s="70"/>
      <c r="K48" s="70">
        <v>119173</v>
      </c>
      <c r="L48" s="73">
        <v>0</v>
      </c>
      <c r="M48" s="73">
        <v>116711.01</v>
      </c>
      <c r="N48" s="73"/>
      <c r="O48" s="73">
        <v>125358.92</v>
      </c>
      <c r="P48" s="73">
        <v>542629.67000000004</v>
      </c>
      <c r="Q48" s="73">
        <v>129935.07</v>
      </c>
      <c r="R48" s="73"/>
      <c r="S48" s="73">
        <v>121737.44</v>
      </c>
      <c r="T48" s="73"/>
      <c r="U48" s="73">
        <v>117906.23</v>
      </c>
      <c r="V48" s="73"/>
      <c r="W48" s="73">
        <v>122506.85</v>
      </c>
      <c r="X48" s="73"/>
      <c r="Y48" s="73">
        <v>139420.29</v>
      </c>
      <c r="Z48" s="73"/>
      <c r="AA48" s="73">
        <v>112808.97</v>
      </c>
      <c r="AB48" s="71">
        <f t="shared" si="0"/>
        <v>1427196.3299999998</v>
      </c>
      <c r="AC48" s="88"/>
    </row>
    <row r="49" spans="1:29" s="75" customFormat="1" x14ac:dyDescent="0.35">
      <c r="A49" s="66" t="s">
        <v>64</v>
      </c>
      <c r="B49" s="67">
        <v>524905.58000000007</v>
      </c>
      <c r="C49" s="70">
        <v>0</v>
      </c>
      <c r="D49" s="70">
        <v>0</v>
      </c>
      <c r="E49" s="70">
        <v>350628.74</v>
      </c>
      <c r="F49" s="70">
        <v>0</v>
      </c>
      <c r="G49" s="70">
        <v>188326.98</v>
      </c>
      <c r="H49" s="70"/>
      <c r="I49" s="70">
        <v>193952.23</v>
      </c>
      <c r="J49" s="70">
        <v>318238.56</v>
      </c>
      <c r="K49" s="70">
        <v>189030.07</v>
      </c>
      <c r="L49" s="73">
        <v>0</v>
      </c>
      <c r="M49" s="73">
        <v>214633.59</v>
      </c>
      <c r="N49" s="73"/>
      <c r="O49" s="73">
        <v>166279.26999999999</v>
      </c>
      <c r="P49" s="73">
        <v>0</v>
      </c>
      <c r="Q49" s="73">
        <v>194829.95</v>
      </c>
      <c r="R49" s="73"/>
      <c r="S49" s="73">
        <v>162851.38</v>
      </c>
      <c r="T49" s="73">
        <v>331025.82</v>
      </c>
      <c r="U49" s="73">
        <v>168810.5</v>
      </c>
      <c r="V49" s="73">
        <v>518261.04</v>
      </c>
      <c r="W49" s="73">
        <v>139923.68</v>
      </c>
      <c r="X49" s="73"/>
      <c r="Y49" s="73">
        <v>187561.95</v>
      </c>
      <c r="Z49" s="73">
        <f>308734.18+303621.14</f>
        <v>612355.32000000007</v>
      </c>
      <c r="AA49" s="73">
        <v>172210.65</v>
      </c>
      <c r="AB49" s="71">
        <f t="shared" si="0"/>
        <v>1074063.8299999996</v>
      </c>
      <c r="AC49" s="88" t="s">
        <v>22</v>
      </c>
    </row>
    <row r="50" spans="1:29" s="72" customFormat="1" x14ac:dyDescent="0.35">
      <c r="A50" s="66" t="s">
        <v>65</v>
      </c>
      <c r="B50" s="67">
        <v>519450.49</v>
      </c>
      <c r="C50" s="70">
        <v>52108.23</v>
      </c>
      <c r="D50" s="70">
        <v>0</v>
      </c>
      <c r="E50" s="70">
        <v>66396.34</v>
      </c>
      <c r="F50" s="70">
        <v>0</v>
      </c>
      <c r="G50" s="70">
        <v>60408.05</v>
      </c>
      <c r="H50" s="70"/>
      <c r="I50" s="70">
        <v>64367.44</v>
      </c>
      <c r="J50" s="70">
        <f>99603.6+90813.93</f>
        <v>190417.53</v>
      </c>
      <c r="K50" s="70">
        <v>78742.559999999998</v>
      </c>
      <c r="L50" s="73">
        <v>0</v>
      </c>
      <c r="M50" s="73">
        <v>65639.839999999997</v>
      </c>
      <c r="N50" s="73">
        <f>78742.56+8791.11</f>
        <v>87533.67</v>
      </c>
      <c r="O50" s="73">
        <v>66561.149999999994</v>
      </c>
      <c r="P50" s="73">
        <v>0</v>
      </c>
      <c r="Q50" s="73">
        <v>55690.3</v>
      </c>
      <c r="R50" s="73">
        <v>187891.29</v>
      </c>
      <c r="S50" s="73">
        <v>55873.62</v>
      </c>
      <c r="T50" s="73"/>
      <c r="U50" s="73">
        <v>64040.31</v>
      </c>
      <c r="V50" s="73"/>
      <c r="W50" s="73">
        <v>56737.86</v>
      </c>
      <c r="X50" s="73"/>
      <c r="Y50" s="73">
        <v>56813.75</v>
      </c>
      <c r="Z50" s="73">
        <f>55873.62+56737.86+64040.31</f>
        <v>176651.79</v>
      </c>
      <c r="AA50" s="73">
        <v>70240.91</v>
      </c>
      <c r="AB50" s="71">
        <f t="shared" si="0"/>
        <v>586360.1100000001</v>
      </c>
      <c r="AC50" s="88"/>
    </row>
    <row r="51" spans="1:29" s="75" customFormat="1" x14ac:dyDescent="0.35">
      <c r="A51" s="66" t="s">
        <v>66</v>
      </c>
      <c r="B51" s="67">
        <v>425577.13</v>
      </c>
      <c r="C51" s="70">
        <v>5923.29</v>
      </c>
      <c r="D51" s="70">
        <v>0</v>
      </c>
      <c r="E51" s="70">
        <v>180376.78</v>
      </c>
      <c r="F51" s="74">
        <v>249051.08</v>
      </c>
      <c r="G51" s="70">
        <v>137747.93</v>
      </c>
      <c r="H51" s="70">
        <v>170602.76</v>
      </c>
      <c r="I51" s="70">
        <v>187746.3</v>
      </c>
      <c r="J51" s="70">
        <f>318124.71+187746.3</f>
        <v>505871.01</v>
      </c>
      <c r="K51" s="70">
        <v>154160.69</v>
      </c>
      <c r="L51" s="73">
        <v>0</v>
      </c>
      <c r="M51" s="73">
        <v>160395.59</v>
      </c>
      <c r="N51" s="73"/>
      <c r="O51" s="73">
        <v>107538.94</v>
      </c>
      <c r="P51" s="73">
        <v>0</v>
      </c>
      <c r="Q51" s="73">
        <v>127369.12</v>
      </c>
      <c r="R51" s="73"/>
      <c r="S51" s="73">
        <v>221381.99</v>
      </c>
      <c r="T51" s="73">
        <v>549464.34</v>
      </c>
      <c r="U51" s="73">
        <v>145665.13</v>
      </c>
      <c r="V51" s="73"/>
      <c r="W51" s="73">
        <v>107868.37</v>
      </c>
      <c r="X51" s="73">
        <v>367047.12</v>
      </c>
      <c r="Y51" s="73">
        <v>148803.14000000001</v>
      </c>
      <c r="Z51" s="73">
        <v>256671.51</v>
      </c>
      <c r="AA51" s="73">
        <v>136306.60999999999</v>
      </c>
      <c r="AB51" s="71">
        <f t="shared" si="0"/>
        <v>136306.6100000001</v>
      </c>
      <c r="AC51" s="88" t="s">
        <v>22</v>
      </c>
    </row>
    <row r="52" spans="1:29" s="72" customFormat="1" x14ac:dyDescent="0.35">
      <c r="A52" s="66" t="s">
        <v>67</v>
      </c>
      <c r="B52" s="67">
        <v>419000.22000000003</v>
      </c>
      <c r="C52" s="70">
        <f>50547.27+71118.74</f>
        <v>121666.01000000001</v>
      </c>
      <c r="D52" s="70">
        <v>164829.67000000001</v>
      </c>
      <c r="E52" s="70">
        <v>55436.41</v>
      </c>
      <c r="F52" s="70">
        <v>0</v>
      </c>
      <c r="G52" s="70">
        <v>65574.929999999993</v>
      </c>
      <c r="H52" s="70"/>
      <c r="I52" s="70">
        <v>69384.960000000006</v>
      </c>
      <c r="J52" s="70">
        <f>1057.93+61708.29+65574.93</f>
        <v>128341.15</v>
      </c>
      <c r="K52" s="70">
        <v>74261.64</v>
      </c>
      <c r="L52" s="73">
        <v>69384.960000000006</v>
      </c>
      <c r="M52" s="73">
        <v>114308.1</v>
      </c>
      <c r="N52" s="73"/>
      <c r="O52" s="73">
        <v>72325.81</v>
      </c>
      <c r="P52" s="73">
        <v>73840.69</v>
      </c>
      <c r="Q52" s="73">
        <v>104489.2</v>
      </c>
      <c r="R52" s="73"/>
      <c r="S52" s="73">
        <v>100878.62</v>
      </c>
      <c r="T52" s="73"/>
      <c r="U52" s="73">
        <v>74932.75</v>
      </c>
      <c r="V52" s="73"/>
      <c r="W52" s="73">
        <v>64440.9</v>
      </c>
      <c r="X52" s="73">
        <f>71080.72+111736.81</f>
        <v>182817.53</v>
      </c>
      <c r="Y52" s="73">
        <v>87006.36</v>
      </c>
      <c r="Z52" s="73">
        <v>98314.008000000002</v>
      </c>
      <c r="AA52" s="73">
        <v>73235.350000000006</v>
      </c>
      <c r="AB52" s="71">
        <f t="shared" si="0"/>
        <v>536081.23199999984</v>
      </c>
      <c r="AC52" s="88"/>
    </row>
    <row r="53" spans="1:29" s="72" customFormat="1" x14ac:dyDescent="0.35">
      <c r="A53" s="66" t="s">
        <v>68</v>
      </c>
      <c r="B53" s="67">
        <v>399025.53</v>
      </c>
      <c r="C53" s="70">
        <f>154486.06+251858.38</f>
        <v>406344.44</v>
      </c>
      <c r="D53" s="70">
        <v>0</v>
      </c>
      <c r="E53" s="70">
        <v>173006.53</v>
      </c>
      <c r="F53" s="70">
        <v>0</v>
      </c>
      <c r="G53" s="70">
        <v>206088.53</v>
      </c>
      <c r="H53" s="70">
        <v>379095.06</v>
      </c>
      <c r="I53" s="70">
        <v>213685.64</v>
      </c>
      <c r="J53" s="70">
        <f>213685.64</f>
        <v>213685.64</v>
      </c>
      <c r="K53" s="70">
        <v>159866.64000000001</v>
      </c>
      <c r="L53" s="73">
        <f>159866.64</f>
        <v>159866.64000000001</v>
      </c>
      <c r="M53" s="73">
        <v>311970.73</v>
      </c>
      <c r="N53" s="73"/>
      <c r="O53" s="73">
        <v>196716.89</v>
      </c>
      <c r="P53" s="73">
        <v>0</v>
      </c>
      <c r="Q53" s="73">
        <v>158041.39000000001</v>
      </c>
      <c r="R53" s="73">
        <v>666729.01</v>
      </c>
      <c r="S53" s="73">
        <v>156703.17000000001</v>
      </c>
      <c r="T53" s="73">
        <v>156703.17000000001</v>
      </c>
      <c r="U53" s="73">
        <v>144602.17000000001</v>
      </c>
      <c r="V53" s="73">
        <v>144602.17000000001</v>
      </c>
      <c r="W53" s="73">
        <v>138499.73000000001</v>
      </c>
      <c r="X53" s="73">
        <v>138499.73000000001</v>
      </c>
      <c r="Y53" s="73">
        <v>162891.23000000001</v>
      </c>
      <c r="Z53" s="73"/>
      <c r="AA53" s="73">
        <v>167350.56</v>
      </c>
      <c r="AB53" s="71">
        <f t="shared" si="0"/>
        <v>322922.88000000012</v>
      </c>
      <c r="AC53" s="88" t="s">
        <v>22</v>
      </c>
    </row>
    <row r="54" spans="1:29" s="72" customFormat="1" x14ac:dyDescent="0.35">
      <c r="A54" s="66" t="s">
        <v>69</v>
      </c>
      <c r="B54" s="67">
        <v>364245.30000000005</v>
      </c>
      <c r="C54" s="70">
        <v>0</v>
      </c>
      <c r="D54" s="70">
        <v>34021.85</v>
      </c>
      <c r="E54" s="70">
        <v>19476.95</v>
      </c>
      <c r="F54" s="70">
        <v>0</v>
      </c>
      <c r="G54" s="70">
        <v>19692.27</v>
      </c>
      <c r="H54" s="70"/>
      <c r="I54" s="70">
        <v>20457.23</v>
      </c>
      <c r="J54" s="70"/>
      <c r="K54" s="70">
        <v>26400.69</v>
      </c>
      <c r="L54" s="73">
        <v>0</v>
      </c>
      <c r="M54" s="73">
        <v>33717.72</v>
      </c>
      <c r="N54" s="73"/>
      <c r="O54" s="73">
        <v>20430.71</v>
      </c>
      <c r="P54" s="73">
        <v>0</v>
      </c>
      <c r="Q54" s="73">
        <v>23691.21</v>
      </c>
      <c r="R54" s="73"/>
      <c r="S54" s="73">
        <v>24595.72</v>
      </c>
      <c r="T54" s="73"/>
      <c r="U54" s="73">
        <v>22351.13</v>
      </c>
      <c r="V54" s="73"/>
      <c r="W54" s="73">
        <v>22351.13</v>
      </c>
      <c r="X54" s="73"/>
      <c r="Y54" s="73">
        <v>24254.92</v>
      </c>
      <c r="Z54" s="73"/>
      <c r="AA54" s="73">
        <v>30904.84</v>
      </c>
      <c r="AB54" s="71">
        <f t="shared" si="0"/>
        <v>618547.97000000009</v>
      </c>
      <c r="AC54" s="88"/>
    </row>
    <row r="55" spans="1:29" s="76" customFormat="1" x14ac:dyDescent="0.35">
      <c r="A55" s="66" t="s">
        <v>70</v>
      </c>
      <c r="B55" s="67">
        <v>351527.58</v>
      </c>
      <c r="C55" s="70">
        <v>0</v>
      </c>
      <c r="D55" s="70">
        <v>0</v>
      </c>
      <c r="E55" s="70">
        <v>154543.16</v>
      </c>
      <c r="F55" s="70">
        <v>0</v>
      </c>
      <c r="G55" s="70">
        <v>169846.33</v>
      </c>
      <c r="H55" s="70">
        <f>611288.75+154543.16</f>
        <v>765831.91</v>
      </c>
      <c r="I55" s="70">
        <v>450243.3</v>
      </c>
      <c r="J55" s="70"/>
      <c r="K55" s="70">
        <v>166665.01</v>
      </c>
      <c r="L55" s="73">
        <v>169846.33</v>
      </c>
      <c r="M55" s="73">
        <v>359206.99</v>
      </c>
      <c r="N55" s="73">
        <v>450243.3</v>
      </c>
      <c r="O55" s="73">
        <v>97535.87</v>
      </c>
      <c r="P55" s="73">
        <v>0</v>
      </c>
      <c r="Q55" s="73">
        <v>140533.85999999999</v>
      </c>
      <c r="R55" s="73"/>
      <c r="S55" s="73">
        <v>214980.19</v>
      </c>
      <c r="T55" s="73"/>
      <c r="U55" s="73">
        <v>145113.71</v>
      </c>
      <c r="V55" s="73"/>
      <c r="W55" s="73">
        <v>187172.45</v>
      </c>
      <c r="X55" s="73"/>
      <c r="Y55" s="73">
        <v>294640.57</v>
      </c>
      <c r="Z55" s="73">
        <f>332286.16+714741.04</f>
        <v>1047027.2</v>
      </c>
      <c r="AA55" s="73">
        <v>160239.9</v>
      </c>
      <c r="AB55" s="71">
        <f t="shared" si="0"/>
        <v>459300.18000000005</v>
      </c>
      <c r="AC55" s="89" t="s">
        <v>22</v>
      </c>
    </row>
    <row r="56" spans="1:29" s="72" customFormat="1" x14ac:dyDescent="0.35">
      <c r="A56" s="66" t="s">
        <v>71</v>
      </c>
      <c r="B56" s="67">
        <v>271289.25</v>
      </c>
      <c r="C56" s="70">
        <v>0</v>
      </c>
      <c r="D56" s="70">
        <v>0</v>
      </c>
      <c r="E56" s="70">
        <v>38936.199999999997</v>
      </c>
      <c r="F56" s="70">
        <v>0</v>
      </c>
      <c r="G56" s="70">
        <v>41587.75</v>
      </c>
      <c r="H56" s="70"/>
      <c r="I56" s="70">
        <v>56318.74</v>
      </c>
      <c r="J56" s="70"/>
      <c r="K56" s="70">
        <v>39484.25</v>
      </c>
      <c r="L56" s="73">
        <f>136842.69</f>
        <v>136842.69</v>
      </c>
      <c r="M56" s="73">
        <v>55094.12</v>
      </c>
      <c r="N56" s="73">
        <v>34353.35</v>
      </c>
      <c r="O56" s="73">
        <v>42277.19</v>
      </c>
      <c r="P56" s="73">
        <v>0</v>
      </c>
      <c r="Q56" s="73">
        <v>43036.37</v>
      </c>
      <c r="R56" s="73"/>
      <c r="S56" s="73">
        <v>45071.29</v>
      </c>
      <c r="T56" s="73"/>
      <c r="U56" s="73">
        <v>44251.44</v>
      </c>
      <c r="V56" s="73"/>
      <c r="W56" s="78">
        <v>58610.94</v>
      </c>
      <c r="X56" s="78"/>
      <c r="Y56" s="78">
        <v>49406.07</v>
      </c>
      <c r="Z56" s="78"/>
      <c r="AA56" s="78">
        <v>46785.29</v>
      </c>
      <c r="AB56" s="71">
        <f t="shared" si="0"/>
        <v>660952.86</v>
      </c>
      <c r="AC56" s="88"/>
    </row>
    <row r="57" spans="1:29" s="72" customFormat="1" x14ac:dyDescent="0.35">
      <c r="A57" s="66" t="s">
        <v>72</v>
      </c>
      <c r="B57" s="67">
        <v>271151.38</v>
      </c>
      <c r="C57" s="70">
        <v>0</v>
      </c>
      <c r="D57" s="70">
        <v>0</v>
      </c>
      <c r="E57" s="70">
        <v>36817.589999999997</v>
      </c>
      <c r="F57" s="70">
        <v>0</v>
      </c>
      <c r="G57" s="70">
        <v>37328.26</v>
      </c>
      <c r="H57" s="70">
        <v>55400.61</v>
      </c>
      <c r="I57" s="70">
        <v>39389.120000000003</v>
      </c>
      <c r="J57" s="70"/>
      <c r="K57" s="70">
        <v>36752.43</v>
      </c>
      <c r="L57" s="73">
        <v>39389.120000000003</v>
      </c>
      <c r="M57" s="73">
        <v>38494.39</v>
      </c>
      <c r="N57" s="73">
        <v>36752.43</v>
      </c>
      <c r="O57" s="73">
        <v>35548.46</v>
      </c>
      <c r="P57" s="73">
        <v>0</v>
      </c>
      <c r="Q57" s="73">
        <v>38137.9</v>
      </c>
      <c r="R57" s="73">
        <f>76632.29+35548.46</f>
        <v>112180.75</v>
      </c>
      <c r="S57" s="73">
        <v>50245.07</v>
      </c>
      <c r="T57" s="73"/>
      <c r="U57" s="73">
        <v>25495.4</v>
      </c>
      <c r="V57" s="73"/>
      <c r="W57" s="78">
        <v>41038.49</v>
      </c>
      <c r="X57" s="78">
        <f>37442.6</f>
        <v>37442.6</v>
      </c>
      <c r="Y57" s="78">
        <v>43010.29</v>
      </c>
      <c r="Z57" s="78">
        <v>43010.29</v>
      </c>
      <c r="AA57" s="78">
        <v>37563.22</v>
      </c>
      <c r="AB57" s="71">
        <f t="shared" si="0"/>
        <v>406796.20000000007</v>
      </c>
      <c r="AC57" s="88" t="s">
        <v>22</v>
      </c>
    </row>
    <row r="58" spans="1:29" s="76" customFormat="1" x14ac:dyDescent="0.35">
      <c r="A58" s="66" t="s">
        <v>73</v>
      </c>
      <c r="B58" s="67">
        <v>259328.93000000002</v>
      </c>
      <c r="C58" s="70">
        <v>253129.29</v>
      </c>
      <c r="D58" s="70">
        <v>0</v>
      </c>
      <c r="E58" s="70">
        <v>147112.74</v>
      </c>
      <c r="F58" s="70">
        <v>0</v>
      </c>
      <c r="G58" s="70">
        <v>126908.33</v>
      </c>
      <c r="H58" s="70">
        <v>141215.54</v>
      </c>
      <c r="I58" s="70">
        <v>198863.39</v>
      </c>
      <c r="J58" s="70">
        <v>126908.33</v>
      </c>
      <c r="K58" s="70">
        <v>125521.07</v>
      </c>
      <c r="L58" s="73">
        <v>0</v>
      </c>
      <c r="M58" s="73">
        <v>175463.48</v>
      </c>
      <c r="N58" s="73"/>
      <c r="O58" s="73">
        <v>159428.64000000001</v>
      </c>
      <c r="P58" s="73">
        <v>321112.36</v>
      </c>
      <c r="Q58" s="73">
        <v>137972.32</v>
      </c>
      <c r="R58" s="73">
        <v>334892.12</v>
      </c>
      <c r="S58" s="73">
        <v>155905.01999999999</v>
      </c>
      <c r="T58" s="73">
        <f>137972.32+155905.02</f>
        <v>293877.33999999997</v>
      </c>
      <c r="U58" s="73">
        <v>152769.67000000001</v>
      </c>
      <c r="V58" s="73"/>
      <c r="W58" s="78">
        <v>164825.35999999999</v>
      </c>
      <c r="X58" s="78">
        <v>152769.67000000001</v>
      </c>
      <c r="Y58" s="78">
        <v>241084.6</v>
      </c>
      <c r="Z58" s="78">
        <f>134637.59+241084.6</f>
        <v>375722.19</v>
      </c>
      <c r="AA58" s="78">
        <v>322220.26</v>
      </c>
      <c r="AB58" s="71">
        <f t="shared" si="0"/>
        <v>367776.97000000009</v>
      </c>
      <c r="AC58" s="88" t="s">
        <v>22</v>
      </c>
    </row>
    <row r="59" spans="1:29" s="72" customFormat="1" x14ac:dyDescent="0.35">
      <c r="A59" s="66" t="s">
        <v>74</v>
      </c>
      <c r="B59" s="67">
        <v>207658.53</v>
      </c>
      <c r="C59" s="70">
        <v>0</v>
      </c>
      <c r="D59" s="70">
        <v>0</v>
      </c>
      <c r="E59" s="70">
        <v>49628.160000000003</v>
      </c>
      <c r="F59" s="74">
        <v>165409.07999999999</v>
      </c>
      <c r="G59" s="70">
        <v>46178.38</v>
      </c>
      <c r="H59" s="70"/>
      <c r="I59" s="70">
        <v>59249.2</v>
      </c>
      <c r="J59" s="70">
        <v>95806.54</v>
      </c>
      <c r="K59" s="70">
        <v>55967.63</v>
      </c>
      <c r="L59" s="73">
        <v>59249.42</v>
      </c>
      <c r="M59" s="73">
        <v>53958.1</v>
      </c>
      <c r="N59" s="73">
        <v>55967.63</v>
      </c>
      <c r="O59" s="73">
        <v>59090.12</v>
      </c>
      <c r="P59" s="73">
        <v>41788.1</v>
      </c>
      <c r="Q59" s="73">
        <v>51915.75</v>
      </c>
      <c r="R59" s="73">
        <v>113048.22</v>
      </c>
      <c r="S59" s="73">
        <v>56582.92</v>
      </c>
      <c r="T59" s="73">
        <v>51915.75</v>
      </c>
      <c r="U59" s="73">
        <v>44534.55</v>
      </c>
      <c r="V59" s="73">
        <v>56582.92</v>
      </c>
      <c r="W59" s="78">
        <v>45379.69</v>
      </c>
      <c r="X59" s="78">
        <f>44534.55+45379.69</f>
        <v>89914.240000000005</v>
      </c>
      <c r="Y59" s="78">
        <v>47545.13</v>
      </c>
      <c r="Z59" s="78">
        <v>47545.13</v>
      </c>
      <c r="AA59" s="78">
        <v>57558.9</v>
      </c>
      <c r="AB59" s="71">
        <f t="shared" si="0"/>
        <v>58020.029999999977</v>
      </c>
      <c r="AC59" s="88" t="s">
        <v>22</v>
      </c>
    </row>
    <row r="60" spans="1:29" s="72" customFormat="1" x14ac:dyDescent="0.35">
      <c r="A60" s="66" t="s">
        <v>75</v>
      </c>
      <c r="B60" s="67">
        <v>193038.31000000003</v>
      </c>
      <c r="C60" s="70">
        <v>0</v>
      </c>
      <c r="D60" s="70">
        <v>0</v>
      </c>
      <c r="E60" s="70">
        <v>35847.160000000003</v>
      </c>
      <c r="F60" s="70">
        <v>0</v>
      </c>
      <c r="G60" s="70">
        <v>61244.6</v>
      </c>
      <c r="H60" s="70"/>
      <c r="I60" s="70">
        <v>87401.2</v>
      </c>
      <c r="J60" s="70"/>
      <c r="K60" s="70">
        <v>133062.65</v>
      </c>
      <c r="L60" s="73">
        <f>307695.87+49367.11</f>
        <v>357062.98</v>
      </c>
      <c r="M60" s="73">
        <v>76475.05</v>
      </c>
      <c r="N60" s="73"/>
      <c r="O60" s="73">
        <v>76544.11</v>
      </c>
      <c r="P60" s="73">
        <v>133062.65</v>
      </c>
      <c r="Q60" s="73">
        <v>94812.04</v>
      </c>
      <c r="R60" s="73"/>
      <c r="S60" s="73">
        <v>107254.77</v>
      </c>
      <c r="T60" s="73">
        <f>76544.11+76475.05</f>
        <v>153019.16</v>
      </c>
      <c r="U60" s="73">
        <v>87131.62</v>
      </c>
      <c r="V60" s="73">
        <v>107254.77</v>
      </c>
      <c r="W60" s="78">
        <v>87131.62</v>
      </c>
      <c r="X60" s="78"/>
      <c r="Y60" s="78">
        <v>106215.49</v>
      </c>
      <c r="Z60" s="78"/>
      <c r="AA60" s="78">
        <v>76774</v>
      </c>
      <c r="AB60" s="71">
        <f t="shared" si="0"/>
        <v>472533.06000000006</v>
      </c>
      <c r="AC60" s="88"/>
    </row>
    <row r="61" spans="1:29" s="72" customFormat="1" x14ac:dyDescent="0.35">
      <c r="A61" s="66" t="s">
        <v>76</v>
      </c>
      <c r="B61" s="67">
        <v>177425.14</v>
      </c>
      <c r="C61" s="70">
        <v>0</v>
      </c>
      <c r="D61" s="70">
        <v>0</v>
      </c>
      <c r="E61" s="70">
        <v>10596.81</v>
      </c>
      <c r="F61" s="70">
        <v>0</v>
      </c>
      <c r="G61" s="70">
        <v>28042.19</v>
      </c>
      <c r="H61" s="70"/>
      <c r="I61" s="70">
        <v>31031.23</v>
      </c>
      <c r="J61" s="70"/>
      <c r="K61" s="70">
        <v>53836.25</v>
      </c>
      <c r="L61" s="73"/>
      <c r="M61" s="73">
        <v>-25127.35</v>
      </c>
      <c r="N61" s="73"/>
      <c r="O61" s="73">
        <v>29529.53</v>
      </c>
      <c r="P61" s="73"/>
      <c r="Q61" s="73">
        <v>30475.63</v>
      </c>
      <c r="R61" s="73"/>
      <c r="S61" s="73">
        <v>29867.08</v>
      </c>
      <c r="T61" s="73"/>
      <c r="U61" s="73">
        <v>21827.06</v>
      </c>
      <c r="V61" s="73"/>
      <c r="W61" s="78">
        <v>26635.22</v>
      </c>
      <c r="X61" s="78"/>
      <c r="Y61" s="78">
        <v>44600.24</v>
      </c>
      <c r="Z61" s="78"/>
      <c r="AA61" s="78">
        <v>26444.92</v>
      </c>
      <c r="AB61" s="71">
        <f t="shared" si="0"/>
        <v>485183.95</v>
      </c>
      <c r="AC61" s="88"/>
    </row>
    <row r="62" spans="1:29" s="72" customFormat="1" x14ac:dyDescent="0.35">
      <c r="A62" s="66" t="s">
        <v>77</v>
      </c>
      <c r="B62" s="67">
        <v>0</v>
      </c>
      <c r="C62" s="70"/>
      <c r="D62" s="70">
        <v>0</v>
      </c>
      <c r="E62" s="70"/>
      <c r="F62" s="70"/>
      <c r="G62" s="70"/>
      <c r="H62" s="70"/>
      <c r="I62" s="70"/>
      <c r="J62" s="70"/>
      <c r="K62" s="70"/>
      <c r="L62" s="73"/>
      <c r="M62" s="73"/>
      <c r="N62" s="73"/>
      <c r="O62" s="73"/>
      <c r="P62" s="73"/>
      <c r="Q62" s="73">
        <v>0</v>
      </c>
      <c r="R62" s="73"/>
      <c r="S62" s="73">
        <v>0</v>
      </c>
      <c r="T62" s="73"/>
      <c r="U62" s="73"/>
      <c r="V62" s="73"/>
      <c r="W62" s="73"/>
      <c r="X62" s="73"/>
      <c r="Y62" s="73">
        <v>83433.52</v>
      </c>
      <c r="Z62" s="73"/>
      <c r="AA62" s="73">
        <v>53336.82</v>
      </c>
      <c r="AB62" s="71">
        <f t="shared" si="0"/>
        <v>136770.34</v>
      </c>
      <c r="AC62" s="88"/>
    </row>
    <row r="63" spans="1:29" s="72" customFormat="1" x14ac:dyDescent="0.35">
      <c r="A63" s="66" t="s">
        <v>78</v>
      </c>
      <c r="B63" s="67">
        <v>452033.48</v>
      </c>
      <c r="C63" s="70"/>
      <c r="D63" s="70">
        <v>0</v>
      </c>
      <c r="E63" s="70"/>
      <c r="F63" s="70"/>
      <c r="G63" s="70"/>
      <c r="H63" s="70"/>
      <c r="I63" s="70">
        <v>26353.37</v>
      </c>
      <c r="J63" s="70"/>
      <c r="K63" s="70">
        <v>5306.77</v>
      </c>
      <c r="L63" s="73"/>
      <c r="M63" s="73">
        <v>6566.62</v>
      </c>
      <c r="N63" s="73"/>
      <c r="O63" s="73">
        <v>-19538.400000000001</v>
      </c>
      <c r="P63" s="73"/>
      <c r="Q63" s="73">
        <v>0</v>
      </c>
      <c r="R63" s="73"/>
      <c r="S63" s="73">
        <v>0</v>
      </c>
      <c r="T63" s="73"/>
      <c r="U63" s="73">
        <v>524.67999999999995</v>
      </c>
      <c r="V63" s="73"/>
      <c r="W63" s="73">
        <v>116428.42</v>
      </c>
      <c r="X63" s="73"/>
      <c r="Y63" s="73">
        <v>0</v>
      </c>
      <c r="Z63" s="73"/>
      <c r="AA63" s="73">
        <v>0</v>
      </c>
      <c r="AB63" s="71">
        <f t="shared" si="0"/>
        <v>587674.93999999994</v>
      </c>
      <c r="AC63" s="88"/>
    </row>
    <row r="64" spans="1:29" s="72" customFormat="1" x14ac:dyDescent="0.35">
      <c r="A64" s="66" t="s">
        <v>79</v>
      </c>
      <c r="B64" s="67">
        <v>0</v>
      </c>
      <c r="C64" s="70"/>
      <c r="D64" s="70">
        <v>0</v>
      </c>
      <c r="E64" s="70"/>
      <c r="F64" s="70"/>
      <c r="G64" s="70"/>
      <c r="H64" s="70"/>
      <c r="I64" s="70">
        <v>529.16</v>
      </c>
      <c r="J64" s="70"/>
      <c r="K64" s="70">
        <v>0</v>
      </c>
      <c r="L64" s="73"/>
      <c r="M64" s="73">
        <v>32965.660000000003</v>
      </c>
      <c r="N64" s="73"/>
      <c r="O64" s="73">
        <v>9364.68</v>
      </c>
      <c r="P64" s="73"/>
      <c r="Q64" s="73">
        <v>9529.4500000000007</v>
      </c>
      <c r="R64" s="73"/>
      <c r="S64" s="73">
        <v>11192.96</v>
      </c>
      <c r="T64" s="73"/>
      <c r="U64" s="73">
        <v>9842.61</v>
      </c>
      <c r="V64" s="73"/>
      <c r="W64" s="73">
        <v>9842.61</v>
      </c>
      <c r="X64" s="73"/>
      <c r="Y64" s="73">
        <v>13838.86</v>
      </c>
      <c r="Z64" s="73"/>
      <c r="AA64" s="73">
        <v>11284.96</v>
      </c>
      <c r="AB64" s="71">
        <f t="shared" si="0"/>
        <v>108390.95000000001</v>
      </c>
      <c r="AC64" s="88"/>
    </row>
    <row r="65" spans="1:29" s="72" customFormat="1" x14ac:dyDescent="0.35">
      <c r="A65" s="66" t="s">
        <v>80</v>
      </c>
      <c r="B65" s="67">
        <v>129077.96</v>
      </c>
      <c r="C65" s="70">
        <v>0</v>
      </c>
      <c r="D65" s="70">
        <v>0</v>
      </c>
      <c r="E65" s="70">
        <v>6171.54</v>
      </c>
      <c r="F65" s="70">
        <v>0</v>
      </c>
      <c r="G65" s="70">
        <v>4799.58</v>
      </c>
      <c r="H65" s="70"/>
      <c r="I65" s="70">
        <v>5138.46</v>
      </c>
      <c r="J65" s="70"/>
      <c r="K65" s="70">
        <v>10687.09</v>
      </c>
      <c r="L65" s="73">
        <f>5138.46+10687.09</f>
        <v>15825.55</v>
      </c>
      <c r="M65" s="73">
        <v>7452.67</v>
      </c>
      <c r="N65" s="73">
        <f>25477.86</f>
        <v>25477.86</v>
      </c>
      <c r="O65" s="73">
        <v>4644.76</v>
      </c>
      <c r="P65" s="73"/>
      <c r="Q65" s="73">
        <v>4799.58</v>
      </c>
      <c r="R65" s="73">
        <f>3176.16+30537.77+50753.72</f>
        <v>84467.65</v>
      </c>
      <c r="S65" s="73">
        <v>5253.79</v>
      </c>
      <c r="T65" s="73">
        <v>4799.58</v>
      </c>
      <c r="U65" s="73">
        <v>4799.58</v>
      </c>
      <c r="V65" s="73"/>
      <c r="W65" s="73">
        <v>4799.58</v>
      </c>
      <c r="X65" s="73">
        <f>5253.79+4334.08</f>
        <v>9587.869999999999</v>
      </c>
      <c r="Y65" s="73">
        <v>4489.93</v>
      </c>
      <c r="Z65" s="73">
        <f>7452.67+4799.58</f>
        <v>12252.25</v>
      </c>
      <c r="AA65" s="73">
        <v>5489.33</v>
      </c>
      <c r="AB65" s="71">
        <f t="shared" si="0"/>
        <v>45193.089999999989</v>
      </c>
      <c r="AC65" s="88" t="s">
        <v>22</v>
      </c>
    </row>
    <row r="66" spans="1:29" s="76" customFormat="1" x14ac:dyDescent="0.35">
      <c r="A66" s="66" t="s">
        <v>81</v>
      </c>
      <c r="B66" s="67">
        <v>100135.62</v>
      </c>
      <c r="C66" s="70">
        <v>0</v>
      </c>
      <c r="D66" s="70">
        <v>0</v>
      </c>
      <c r="E66" s="70">
        <v>33678.1</v>
      </c>
      <c r="F66" s="70">
        <v>0</v>
      </c>
      <c r="G66" s="70">
        <v>41854.22</v>
      </c>
      <c r="H66" s="70"/>
      <c r="I66" s="70">
        <v>40957.57</v>
      </c>
      <c r="J66" s="70">
        <v>5623.17</v>
      </c>
      <c r="K66" s="70">
        <v>35815.730000000003</v>
      </c>
      <c r="L66" s="73">
        <v>0</v>
      </c>
      <c r="M66" s="73">
        <v>51094.97</v>
      </c>
      <c r="N66" s="73"/>
      <c r="O66" s="73">
        <v>41955.07</v>
      </c>
      <c r="P66" s="73"/>
      <c r="Q66" s="73">
        <v>44930.46</v>
      </c>
      <c r="R66" s="73"/>
      <c r="S66" s="73">
        <v>46720.84</v>
      </c>
      <c r="T66" s="73"/>
      <c r="U66" s="73">
        <v>44108.29</v>
      </c>
      <c r="V66" s="73"/>
      <c r="W66" s="73">
        <v>44108.29</v>
      </c>
      <c r="X66" s="73">
        <v>44108.29</v>
      </c>
      <c r="Y66" s="73">
        <v>45733.98</v>
      </c>
      <c r="Z66" s="73">
        <f>381115.25+45733.98</f>
        <v>426849.23</v>
      </c>
      <c r="AA66" s="73">
        <v>45688.52</v>
      </c>
      <c r="AB66" s="71">
        <f t="shared" si="0"/>
        <v>140200.97</v>
      </c>
      <c r="AC66" s="88" t="s">
        <v>22</v>
      </c>
    </row>
    <row r="67" spans="1:29" s="72" customFormat="1" x14ac:dyDescent="0.35">
      <c r="A67" s="66" t="s">
        <v>82</v>
      </c>
      <c r="B67" s="67">
        <v>60771.020000000004</v>
      </c>
      <c r="C67" s="70">
        <v>0</v>
      </c>
      <c r="D67" s="70">
        <v>0</v>
      </c>
      <c r="E67" s="70">
        <v>4674</v>
      </c>
      <c r="F67" s="70">
        <v>0</v>
      </c>
      <c r="G67" s="70">
        <v>8592.09</v>
      </c>
      <c r="H67" s="70"/>
      <c r="I67" s="70">
        <v>10338.34</v>
      </c>
      <c r="J67" s="70"/>
      <c r="K67" s="70">
        <v>20252.43</v>
      </c>
      <c r="L67" s="73">
        <v>26840.59</v>
      </c>
      <c r="M67" s="73">
        <v>-30037.71</v>
      </c>
      <c r="N67" s="73"/>
      <c r="O67" s="73">
        <v>1012.45</v>
      </c>
      <c r="P67" s="73"/>
      <c r="Q67" s="73">
        <v>0</v>
      </c>
      <c r="R67" s="73"/>
      <c r="S67" s="73">
        <v>2357.36</v>
      </c>
      <c r="T67" s="73"/>
      <c r="U67" s="73">
        <v>518.97</v>
      </c>
      <c r="V67" s="73"/>
      <c r="W67" s="73">
        <v>0</v>
      </c>
      <c r="X67" s="73"/>
      <c r="Y67" s="73">
        <v>903.83</v>
      </c>
      <c r="Z67" s="73"/>
      <c r="AA67" s="73">
        <v>99.57</v>
      </c>
      <c r="AB67" s="71">
        <f t="shared" si="0"/>
        <v>52641.760000000009</v>
      </c>
      <c r="AC67" s="88"/>
    </row>
    <row r="68" spans="1:29" s="72" customFormat="1" x14ac:dyDescent="0.35">
      <c r="A68" s="66" t="s">
        <v>83</v>
      </c>
      <c r="B68" s="67"/>
      <c r="C68" s="70">
        <v>0</v>
      </c>
      <c r="D68" s="70">
        <v>0</v>
      </c>
      <c r="E68" s="70">
        <v>26979.08</v>
      </c>
      <c r="F68" s="70">
        <v>0</v>
      </c>
      <c r="G68" s="70">
        <v>28105.37</v>
      </c>
      <c r="H68" s="70"/>
      <c r="I68" s="70">
        <v>27428.78</v>
      </c>
      <c r="J68" s="70"/>
      <c r="K68" s="70">
        <v>29190.54</v>
      </c>
      <c r="L68" s="73">
        <v>0</v>
      </c>
      <c r="M68" s="73">
        <v>31102.76</v>
      </c>
      <c r="N68" s="73">
        <v>108310.51</v>
      </c>
      <c r="O68" s="73">
        <v>26137.58</v>
      </c>
      <c r="P68" s="73"/>
      <c r="Q68" s="73">
        <v>29565.25</v>
      </c>
      <c r="R68" s="73">
        <v>29190.54</v>
      </c>
      <c r="S68" s="73">
        <v>28124.959999999999</v>
      </c>
      <c r="T68" s="73">
        <v>86808.59</v>
      </c>
      <c r="U68" s="73">
        <v>30204.17</v>
      </c>
      <c r="V68" s="73"/>
      <c r="W68" s="73">
        <v>30204.17</v>
      </c>
      <c r="X68" s="73">
        <f>28124.96</f>
        <v>28124.959999999999</v>
      </c>
      <c r="Y68" s="73">
        <v>58686.87</v>
      </c>
      <c r="Z68" s="73">
        <v>58686.87</v>
      </c>
      <c r="AA68" s="73">
        <v>82676.69</v>
      </c>
      <c r="AB68" s="71">
        <f t="shared" si="0"/>
        <v>117284.75</v>
      </c>
      <c r="AC68" s="88"/>
    </row>
    <row r="69" spans="1:29" s="72" customFormat="1" x14ac:dyDescent="0.35">
      <c r="A69" s="66" t="s">
        <v>84</v>
      </c>
      <c r="B69" s="67"/>
      <c r="C69" s="70"/>
      <c r="D69" s="70">
        <v>0</v>
      </c>
      <c r="E69" s="70"/>
      <c r="F69" s="70"/>
      <c r="G69" s="70"/>
      <c r="H69" s="70"/>
      <c r="I69" s="70"/>
      <c r="J69" s="70"/>
      <c r="K69" s="70"/>
      <c r="L69" s="70"/>
      <c r="M69" s="70">
        <v>375230.28</v>
      </c>
      <c r="N69" s="70"/>
      <c r="O69" s="70">
        <v>181640.47</v>
      </c>
      <c r="P69" s="70"/>
      <c r="Q69" s="70">
        <v>236313.79</v>
      </c>
      <c r="R69" s="73"/>
      <c r="S69" s="73">
        <v>218827.29</v>
      </c>
      <c r="T69" s="73"/>
      <c r="U69" s="73">
        <v>212617.39</v>
      </c>
      <c r="V69" s="73">
        <f>375230.86+409031.46</f>
        <v>784262.32000000007</v>
      </c>
      <c r="W69" s="73">
        <v>242527.82</v>
      </c>
      <c r="X69" s="73">
        <v>431444.68</v>
      </c>
      <c r="Y69" s="73">
        <v>405068.25</v>
      </c>
      <c r="Z69" s="73">
        <f>405068.25+242527.82</f>
        <v>647596.07000000007</v>
      </c>
      <c r="AA69" s="73">
        <f>284677.62</f>
        <v>284677.62</v>
      </c>
      <c r="AB69" s="71">
        <f t="shared" si="0"/>
        <v>293599.8400000002</v>
      </c>
      <c r="AC69" s="88"/>
    </row>
    <row r="70" spans="1:29" s="72" customFormat="1" x14ac:dyDescent="0.35">
      <c r="A70" s="79" t="s">
        <v>85</v>
      </c>
      <c r="B70" s="67"/>
      <c r="C70" s="70"/>
      <c r="D70" s="70">
        <v>0</v>
      </c>
      <c r="E70" s="70"/>
      <c r="F70" s="70"/>
      <c r="G70" s="70"/>
      <c r="H70" s="70"/>
      <c r="I70" s="70"/>
      <c r="J70" s="70"/>
      <c r="K70" s="70"/>
      <c r="L70" s="70"/>
      <c r="M70" s="80">
        <v>663531.52000000002</v>
      </c>
      <c r="N70" s="80"/>
      <c r="O70" s="80">
        <v>349137.83</v>
      </c>
      <c r="P70" s="80"/>
      <c r="Q70" s="80">
        <v>359723.6</v>
      </c>
      <c r="R70" s="70"/>
      <c r="S70" s="70">
        <v>367576.43</v>
      </c>
      <c r="T70" s="73">
        <v>663531.52000000002</v>
      </c>
      <c r="U70" s="73">
        <v>341305.03</v>
      </c>
      <c r="V70" s="73"/>
      <c r="W70" s="73">
        <v>351711.27</v>
      </c>
      <c r="X70" s="73"/>
      <c r="Y70" s="73">
        <v>501023.53</v>
      </c>
      <c r="Z70" s="73">
        <f>341305.03+367576.43+351711.27+359723.6</f>
        <v>1420316.33</v>
      </c>
      <c r="AA70" s="73">
        <v>430317.21</v>
      </c>
      <c r="AB70" s="71">
        <f t="shared" si="0"/>
        <v>1280478.5700000003</v>
      </c>
      <c r="AC70" s="88"/>
    </row>
    <row r="71" spans="1:29" s="72" customFormat="1" x14ac:dyDescent="0.35">
      <c r="A71" s="66" t="s">
        <v>86</v>
      </c>
      <c r="B71" s="67"/>
      <c r="C71" s="70"/>
      <c r="D71" s="70">
        <v>0</v>
      </c>
      <c r="E71" s="70"/>
      <c r="F71" s="70"/>
      <c r="G71" s="70"/>
      <c r="H71" s="70"/>
      <c r="I71" s="70"/>
      <c r="J71" s="70"/>
      <c r="K71" s="70"/>
      <c r="L71" s="70"/>
      <c r="M71" s="70">
        <v>351656.17</v>
      </c>
      <c r="N71" s="70"/>
      <c r="O71" s="70">
        <v>128618.01300000001</v>
      </c>
      <c r="P71" s="70"/>
      <c r="Q71" s="70">
        <v>293808.34999999998</v>
      </c>
      <c r="R71" s="70"/>
      <c r="S71" s="70">
        <v>368657.16</v>
      </c>
      <c r="T71" s="73"/>
      <c r="U71" s="73">
        <v>338307.23</v>
      </c>
      <c r="V71" s="73"/>
      <c r="W71" s="73">
        <v>564132.32999999996</v>
      </c>
      <c r="X71" s="73">
        <f>368657.16+774082.53</f>
        <v>1142739.69</v>
      </c>
      <c r="Y71" s="73">
        <v>666564.63</v>
      </c>
      <c r="Z71" s="73">
        <v>666564.63</v>
      </c>
      <c r="AA71" s="73">
        <v>617665.14</v>
      </c>
      <c r="AB71" s="71">
        <f t="shared" ref="AB71:AB78" si="1">B71-C71-D71+E71-F71+G71-H71+I71-J71+K71-L71+M71-N71+O71-P71+Q71-R71+S71-T71+U71-V71+W71-X71+Y71-Z71+AA71</f>
        <v>1520104.703</v>
      </c>
      <c r="AC71" s="88"/>
    </row>
    <row r="72" spans="1:29" s="75" customFormat="1" x14ac:dyDescent="0.35">
      <c r="A72" s="81" t="s">
        <v>87</v>
      </c>
      <c r="B72" s="67">
        <v>114409.81</v>
      </c>
      <c r="C72" s="70"/>
      <c r="D72" s="70">
        <v>0</v>
      </c>
      <c r="E72" s="70"/>
      <c r="F72" s="70"/>
      <c r="G72" s="70"/>
      <c r="H72" s="70"/>
      <c r="I72" s="70"/>
      <c r="J72" s="70"/>
      <c r="K72" s="70"/>
      <c r="L72" s="70"/>
      <c r="M72" s="70">
        <v>1159.18</v>
      </c>
      <c r="N72" s="70"/>
      <c r="O72" s="70">
        <v>0</v>
      </c>
      <c r="P72" s="70"/>
      <c r="Q72" s="70">
        <v>0</v>
      </c>
      <c r="R72" s="73"/>
      <c r="S72" s="73">
        <v>776.8</v>
      </c>
      <c r="T72" s="73"/>
      <c r="U72" s="73">
        <v>0</v>
      </c>
      <c r="V72" s="73"/>
      <c r="W72" s="73">
        <v>0</v>
      </c>
      <c r="X72" s="73"/>
      <c r="Y72" s="73">
        <v>0</v>
      </c>
      <c r="Z72" s="73"/>
      <c r="AA72" s="73">
        <v>0</v>
      </c>
      <c r="AB72" s="71">
        <f t="shared" si="1"/>
        <v>116345.79</v>
      </c>
      <c r="AC72" s="88"/>
    </row>
    <row r="73" spans="1:29" s="72" customFormat="1" x14ac:dyDescent="0.35">
      <c r="A73" s="66" t="s">
        <v>88</v>
      </c>
      <c r="B73" s="67"/>
      <c r="C73" s="70"/>
      <c r="D73" s="70">
        <v>0</v>
      </c>
      <c r="E73" s="70"/>
      <c r="F73" s="70"/>
      <c r="G73" s="70"/>
      <c r="H73" s="70"/>
      <c r="I73" s="70"/>
      <c r="J73" s="70"/>
      <c r="K73" s="70"/>
      <c r="L73" s="70"/>
      <c r="M73" s="70">
        <v>253194.02</v>
      </c>
      <c r="N73" s="70"/>
      <c r="O73" s="70">
        <v>491434.47</v>
      </c>
      <c r="P73" s="70"/>
      <c r="Q73" s="70">
        <v>550426.11</v>
      </c>
      <c r="R73" s="73"/>
      <c r="S73" s="73">
        <v>556826.11</v>
      </c>
      <c r="T73" s="73">
        <v>130307.56</v>
      </c>
      <c r="U73" s="73">
        <v>534189.84</v>
      </c>
      <c r="V73" s="73">
        <v>7377.78</v>
      </c>
      <c r="W73" s="73">
        <v>580067.29</v>
      </c>
      <c r="X73" s="73"/>
      <c r="Y73" s="73">
        <v>1029837.65</v>
      </c>
      <c r="Z73" s="73">
        <f>634291.85+148344.05+14326.98+181328+448833.62+293490.17+218634</f>
        <v>1939248.67</v>
      </c>
      <c r="AA73" s="73">
        <v>711684.07</v>
      </c>
      <c r="AB73" s="71">
        <f t="shared" si="1"/>
        <v>2630725.5499999998</v>
      </c>
      <c r="AC73" s="88"/>
    </row>
    <row r="74" spans="1:29" s="75" customFormat="1" x14ac:dyDescent="0.35">
      <c r="A74" s="66" t="s">
        <v>89</v>
      </c>
      <c r="B74" s="67"/>
      <c r="C74" s="70"/>
      <c r="D74" s="70">
        <v>0</v>
      </c>
      <c r="E74" s="70"/>
      <c r="F74" s="70"/>
      <c r="G74" s="70"/>
      <c r="H74" s="70"/>
      <c r="I74" s="70"/>
      <c r="J74" s="70"/>
      <c r="K74" s="70"/>
      <c r="L74" s="70"/>
      <c r="M74" s="70">
        <v>552547.09</v>
      </c>
      <c r="N74" s="70"/>
      <c r="O74" s="70">
        <v>182152.47</v>
      </c>
      <c r="P74" s="70"/>
      <c r="Q74" s="70">
        <v>224224.41</v>
      </c>
      <c r="R74" s="73"/>
      <c r="S74" s="73">
        <v>248497.51</v>
      </c>
      <c r="T74" s="73">
        <f>552547.09+182152.47</f>
        <v>734699.55999999994</v>
      </c>
      <c r="U74" s="73">
        <v>210947.4</v>
      </c>
      <c r="V74" s="73"/>
      <c r="W74" s="73">
        <v>268385.94</v>
      </c>
      <c r="X74" s="73"/>
      <c r="Y74" s="73">
        <v>420505.25</v>
      </c>
      <c r="Z74" s="73">
        <f>224224.41+248497.51+210947.4+146424+420505.25</f>
        <v>1250598.57</v>
      </c>
      <c r="AA74" s="73">
        <v>385309.5</v>
      </c>
      <c r="AB74" s="71">
        <f t="shared" si="1"/>
        <v>507271.43999999994</v>
      </c>
      <c r="AC74" s="88"/>
    </row>
    <row r="75" spans="1:29" s="72" customFormat="1" x14ac:dyDescent="0.35">
      <c r="A75" s="66" t="s">
        <v>90</v>
      </c>
      <c r="B75" s="67"/>
      <c r="C75" s="70"/>
      <c r="D75" s="70">
        <v>0</v>
      </c>
      <c r="E75" s="70"/>
      <c r="F75" s="70"/>
      <c r="G75" s="70"/>
      <c r="H75" s="70"/>
      <c r="I75" s="70"/>
      <c r="J75" s="70"/>
      <c r="K75" s="70"/>
      <c r="L75" s="70"/>
      <c r="M75" s="70">
        <v>224437.4</v>
      </c>
      <c r="N75" s="70"/>
      <c r="O75" s="70">
        <v>265954.49</v>
      </c>
      <c r="P75" s="70"/>
      <c r="Q75" s="70">
        <v>292504.21999999997</v>
      </c>
      <c r="R75" s="73">
        <v>224437.4</v>
      </c>
      <c r="S75" s="73">
        <v>287547.74</v>
      </c>
      <c r="T75" s="73">
        <f>265954.49+292504.22</f>
        <v>558458.71</v>
      </c>
      <c r="U75" s="73">
        <v>268273.84999999998</v>
      </c>
      <c r="V75" s="82"/>
      <c r="W75" s="73">
        <v>737728.47</v>
      </c>
      <c r="X75" s="73"/>
      <c r="Y75" s="73">
        <v>3076596.94</v>
      </c>
      <c r="Z75" s="73">
        <f>268273.85+287547.74</f>
        <v>555821.59</v>
      </c>
      <c r="AA75" s="73">
        <v>989453.82</v>
      </c>
      <c r="AB75" s="71">
        <f t="shared" si="1"/>
        <v>4803779.2300000004</v>
      </c>
      <c r="AC75" s="88"/>
    </row>
    <row r="76" spans="1:29" s="72" customFormat="1" x14ac:dyDescent="0.35">
      <c r="A76" s="66" t="s">
        <v>91</v>
      </c>
      <c r="B76" s="83"/>
      <c r="C76" s="80"/>
      <c r="D76" s="80"/>
      <c r="E76" s="80"/>
      <c r="F76" s="80"/>
      <c r="G76" s="80"/>
      <c r="H76" s="80"/>
      <c r="I76" s="80"/>
      <c r="J76" s="80"/>
      <c r="K76" s="80"/>
      <c r="L76" s="80"/>
      <c r="M76" s="80"/>
      <c r="N76" s="80"/>
      <c r="O76" s="80"/>
      <c r="P76" s="80"/>
      <c r="Q76" s="80"/>
      <c r="R76" s="73"/>
      <c r="S76" s="73"/>
      <c r="T76" s="73"/>
      <c r="U76" s="73"/>
      <c r="V76" s="82"/>
      <c r="W76" s="73"/>
      <c r="X76" s="73"/>
      <c r="Y76" s="73">
        <v>525911.84</v>
      </c>
      <c r="Z76" s="73"/>
      <c r="AA76" s="73">
        <v>447408.23</v>
      </c>
      <c r="AB76" s="71">
        <f t="shared" si="1"/>
        <v>973320.07</v>
      </c>
      <c r="AC76" s="88"/>
    </row>
    <row r="77" spans="1:29" s="72" customFormat="1" x14ac:dyDescent="0.35">
      <c r="A77" s="66" t="s">
        <v>92</v>
      </c>
      <c r="B77" s="83"/>
      <c r="C77" s="80"/>
      <c r="D77" s="80">
        <v>0</v>
      </c>
      <c r="E77" s="80"/>
      <c r="F77" s="80"/>
      <c r="G77" s="80"/>
      <c r="H77" s="80"/>
      <c r="I77" s="80"/>
      <c r="J77" s="80"/>
      <c r="K77" s="80"/>
      <c r="L77" s="80"/>
      <c r="M77" s="80"/>
      <c r="N77" s="80"/>
      <c r="O77" s="80"/>
      <c r="P77" s="80"/>
      <c r="Q77" s="80">
        <v>873.27</v>
      </c>
      <c r="R77" s="70"/>
      <c r="S77" s="70">
        <v>0</v>
      </c>
      <c r="T77" s="73"/>
      <c r="U77" s="73">
        <v>0</v>
      </c>
      <c r="V77" s="73"/>
      <c r="W77" s="73">
        <v>0</v>
      </c>
      <c r="X77" s="73"/>
      <c r="Y77" s="73">
        <v>0</v>
      </c>
      <c r="Z77" s="73"/>
      <c r="AA77" s="73">
        <v>0</v>
      </c>
      <c r="AB77" s="71">
        <f t="shared" si="1"/>
        <v>873.27</v>
      </c>
      <c r="AC77" s="88"/>
    </row>
    <row r="78" spans="1:29" s="72" customFormat="1" ht="16" thickBot="1" x14ac:dyDescent="0.4">
      <c r="A78" s="79" t="s">
        <v>93</v>
      </c>
      <c r="B78" s="83"/>
      <c r="C78" s="80"/>
      <c r="D78" s="80">
        <v>0</v>
      </c>
      <c r="E78" s="80"/>
      <c r="F78" s="80"/>
      <c r="G78" s="80"/>
      <c r="H78" s="80"/>
      <c r="I78" s="80"/>
      <c r="J78" s="80"/>
      <c r="K78" s="80"/>
      <c r="L78" s="80"/>
      <c r="M78" s="80">
        <v>143834.67000000001</v>
      </c>
      <c r="N78" s="80"/>
      <c r="O78" s="80">
        <v>0</v>
      </c>
      <c r="P78" s="80"/>
      <c r="Q78" s="80">
        <v>0</v>
      </c>
      <c r="R78" s="84"/>
      <c r="S78" s="84">
        <v>0</v>
      </c>
      <c r="T78" s="84"/>
      <c r="U78" s="84">
        <v>0</v>
      </c>
      <c r="V78" s="84"/>
      <c r="W78" s="84">
        <v>0</v>
      </c>
      <c r="X78" s="84"/>
      <c r="Y78" s="84">
        <v>0</v>
      </c>
      <c r="Z78" s="84"/>
      <c r="AA78" s="84">
        <v>0</v>
      </c>
      <c r="AB78" s="71">
        <f t="shared" si="1"/>
        <v>143834.67000000001</v>
      </c>
      <c r="AC78" s="88"/>
    </row>
    <row r="79" spans="1:29" ht="16" thickBot="1" x14ac:dyDescent="0.4">
      <c r="A79" s="42" t="s">
        <v>6</v>
      </c>
      <c r="B79" s="50">
        <f t="shared" ref="B79:K79" si="2">SUM(B6:B68)</f>
        <v>295692586.00999987</v>
      </c>
      <c r="C79" s="43">
        <f t="shared" si="2"/>
        <v>30302234.489999998</v>
      </c>
      <c r="D79" s="43">
        <f>SUM(D6:D78)</f>
        <v>26375872.050000001</v>
      </c>
      <c r="E79" s="43">
        <f t="shared" si="2"/>
        <v>48840667.319999993</v>
      </c>
      <c r="F79" s="43">
        <f t="shared" si="2"/>
        <v>62084339.570000008</v>
      </c>
      <c r="G79" s="43">
        <f t="shared" si="2"/>
        <v>52593420.29999999</v>
      </c>
      <c r="H79" s="43">
        <f t="shared" si="2"/>
        <v>75428931.540000021</v>
      </c>
      <c r="I79" s="43">
        <f t="shared" si="2"/>
        <v>57911748.819999985</v>
      </c>
      <c r="J79" s="43">
        <f t="shared" si="2"/>
        <v>55335612.569999985</v>
      </c>
      <c r="K79" s="43">
        <f t="shared" si="2"/>
        <v>53202708.050000004</v>
      </c>
      <c r="L79" s="51">
        <f>SUM(L6:L68)</f>
        <v>64740825.029999994</v>
      </c>
      <c r="M79" s="4">
        <f>SUM(M6:M78)</f>
        <v>70568754.620000049</v>
      </c>
      <c r="N79" s="4">
        <f>SUM(N6:N68)</f>
        <v>31250586.790000007</v>
      </c>
      <c r="O79" s="44">
        <f t="shared" ref="O79:T79" si="3">SUM(O6:O78)</f>
        <v>54005899.27299998</v>
      </c>
      <c r="P79" s="4">
        <f t="shared" si="3"/>
        <v>18540961.210000005</v>
      </c>
      <c r="Q79" s="4">
        <f t="shared" si="3"/>
        <v>58090494.819999985</v>
      </c>
      <c r="R79" s="45">
        <f t="shared" si="3"/>
        <v>70688200.770000026</v>
      </c>
      <c r="S79" s="45">
        <f t="shared" si="3"/>
        <v>59537793.49000001</v>
      </c>
      <c r="T79" s="45">
        <f t="shared" si="3"/>
        <v>29601820.789999995</v>
      </c>
      <c r="U79" s="45">
        <f t="shared" ref="U79:AB79" si="4">SUM(U6:U78)</f>
        <v>54012146.160000004</v>
      </c>
      <c r="V79" s="47">
        <f t="shared" si="4"/>
        <v>69174473.589999989</v>
      </c>
      <c r="W79" s="45">
        <f t="shared" si="4"/>
        <v>54810733.04999999</v>
      </c>
      <c r="X79" s="45">
        <f t="shared" si="4"/>
        <v>55605772.829999998</v>
      </c>
      <c r="Y79" s="45">
        <f t="shared" si="4"/>
        <v>70035024.50999999</v>
      </c>
      <c r="Z79" s="45">
        <f>SUM(Z6:Z78)</f>
        <v>89099465.318000033</v>
      </c>
      <c r="AA79" s="45">
        <f>SUM(AA6:AA78)</f>
        <v>65010265.049999982</v>
      </c>
      <c r="AB79" s="5">
        <f t="shared" si="4"/>
        <v>316197554.73500013</v>
      </c>
    </row>
    <row r="82" spans="1:27" x14ac:dyDescent="0.35">
      <c r="A82" s="683"/>
      <c r="B82" s="61"/>
      <c r="C82" s="61"/>
      <c r="D82" s="61"/>
      <c r="E82" s="61"/>
      <c r="F82" s="61">
        <f>E79+G79+I79+K79+M79+O79+Q79+S79+U79+W79+Y79+AA79</f>
        <v>698619655.46299994</v>
      </c>
      <c r="G82" s="61">
        <f>C79+F79+H79+J79+L79+N79+P79+R79+T79+V79+X79+Z79</f>
        <v>651853224.49800014</v>
      </c>
      <c r="H82" s="61"/>
      <c r="I82" s="61"/>
      <c r="J82" s="61"/>
      <c r="K82" s="61"/>
      <c r="L82" s="61"/>
      <c r="M82" s="61"/>
      <c r="N82" s="61"/>
      <c r="O82" s="61"/>
      <c r="P82" s="61"/>
      <c r="Q82" s="61"/>
      <c r="R82" s="61"/>
      <c r="S82" s="61"/>
      <c r="T82" s="61"/>
      <c r="U82" s="61"/>
      <c r="W82" s="61">
        <f>W79+Y79+AA79</f>
        <v>189856022.60999995</v>
      </c>
      <c r="X82" s="61"/>
      <c r="Y82" s="61"/>
      <c r="Z82" s="61"/>
      <c r="AA82" s="61"/>
    </row>
    <row r="83" spans="1:27" x14ac:dyDescent="0.35">
      <c r="A83" s="682"/>
      <c r="B83" s="61"/>
      <c r="C83" s="61"/>
      <c r="D83" s="61"/>
      <c r="E83" s="61"/>
      <c r="F83" s="61"/>
      <c r="G83" s="61"/>
      <c r="H83" s="61"/>
      <c r="I83" s="61"/>
      <c r="J83" s="61"/>
      <c r="K83" s="61"/>
      <c r="L83" s="61"/>
      <c r="M83" s="61"/>
      <c r="N83" s="61"/>
      <c r="O83" s="61"/>
      <c r="P83" s="61"/>
      <c r="Q83" s="61"/>
      <c r="R83" s="61"/>
      <c r="S83" s="61"/>
      <c r="T83" s="61"/>
      <c r="U83" s="61"/>
      <c r="W83" s="61">
        <f>V79+X79+Z79</f>
        <v>213879711.73800004</v>
      </c>
      <c r="X83" s="61"/>
      <c r="Y83" s="61"/>
      <c r="Z83" s="61"/>
      <c r="AA83" s="61"/>
    </row>
    <row r="84" spans="1:27" x14ac:dyDescent="0.35">
      <c r="A84" s="682"/>
      <c r="B84" s="61"/>
      <c r="C84" s="61"/>
      <c r="D84" s="61"/>
      <c r="E84" s="61"/>
      <c r="F84" s="61"/>
      <c r="G84" s="61"/>
      <c r="H84" s="61"/>
      <c r="I84" s="61"/>
      <c r="J84" s="61"/>
      <c r="K84" s="61"/>
      <c r="L84" s="61"/>
      <c r="M84" s="61"/>
      <c r="N84" s="61"/>
      <c r="O84" s="61"/>
      <c r="P84" s="61"/>
      <c r="Q84" s="61"/>
      <c r="R84" s="61"/>
      <c r="S84" s="61"/>
      <c r="T84" s="61"/>
      <c r="U84" s="61"/>
      <c r="W84" s="61"/>
      <c r="X84" s="61"/>
      <c r="Y84" s="61"/>
      <c r="Z84" s="61"/>
      <c r="AA84" s="61"/>
    </row>
    <row r="85" spans="1:27" x14ac:dyDescent="0.35">
      <c r="A85" s="682"/>
      <c r="B85" s="61"/>
      <c r="C85" s="61"/>
      <c r="D85" s="61"/>
      <c r="E85" s="61"/>
      <c r="F85" s="61"/>
      <c r="G85" s="61"/>
      <c r="H85" s="61"/>
      <c r="I85" s="61"/>
      <c r="J85" s="61"/>
      <c r="K85" s="61"/>
      <c r="L85" s="61"/>
      <c r="M85" s="61"/>
      <c r="N85" s="61"/>
      <c r="O85" s="61"/>
      <c r="P85" s="61"/>
      <c r="Q85" s="61"/>
      <c r="R85" s="61"/>
      <c r="S85" s="61"/>
      <c r="T85" s="61"/>
      <c r="U85" s="61"/>
      <c r="W85" s="61"/>
      <c r="X85" s="61"/>
      <c r="Y85" s="61"/>
      <c r="Z85" s="61"/>
      <c r="AA85" s="61"/>
    </row>
    <row r="86" spans="1:27" x14ac:dyDescent="0.35">
      <c r="A86" s="682"/>
      <c r="B86" s="61"/>
      <c r="C86" s="61"/>
      <c r="D86" s="61"/>
      <c r="E86" s="61"/>
      <c r="F86" s="61"/>
      <c r="G86" s="61"/>
      <c r="H86" s="61"/>
      <c r="I86" s="61"/>
      <c r="J86" s="61"/>
      <c r="K86" s="61"/>
      <c r="L86" s="61"/>
      <c r="M86" s="61"/>
      <c r="N86" s="61"/>
      <c r="O86" s="61"/>
      <c r="P86" s="61"/>
      <c r="Q86" s="61"/>
      <c r="R86" s="61"/>
      <c r="S86" s="61"/>
      <c r="T86" s="61"/>
      <c r="U86" s="61"/>
      <c r="W86" s="61"/>
      <c r="X86" s="61"/>
      <c r="Y86" s="61"/>
      <c r="Z86" s="61"/>
      <c r="AA86" s="61"/>
    </row>
    <row r="87" spans="1:27" x14ac:dyDescent="0.35">
      <c r="A87" s="682"/>
      <c r="B87" s="52"/>
      <c r="C87" s="52"/>
      <c r="D87" s="52"/>
      <c r="E87" s="61"/>
      <c r="F87" s="61"/>
      <c r="G87" s="61"/>
      <c r="H87" s="61"/>
      <c r="I87" s="61"/>
      <c r="J87" s="61"/>
      <c r="K87" s="61"/>
      <c r="L87" s="61"/>
      <c r="M87" s="61"/>
      <c r="N87" s="61"/>
      <c r="O87" s="61"/>
      <c r="P87" s="61"/>
      <c r="Q87" s="61"/>
      <c r="R87" s="61"/>
      <c r="S87" s="61"/>
      <c r="T87" s="61"/>
      <c r="U87" s="61"/>
      <c r="W87" s="61"/>
      <c r="X87" s="61"/>
      <c r="Y87" s="61"/>
      <c r="Z87" s="61"/>
      <c r="AA87" s="61"/>
    </row>
    <row r="88" spans="1:27" x14ac:dyDescent="0.35">
      <c r="A88" s="682"/>
      <c r="B88" s="61"/>
      <c r="C88" s="61"/>
      <c r="D88" s="61"/>
      <c r="E88" s="61"/>
      <c r="F88" s="61"/>
      <c r="G88" s="61"/>
      <c r="H88" s="61"/>
      <c r="I88" s="61"/>
      <c r="J88" s="61"/>
      <c r="K88" s="61"/>
      <c r="L88" s="61"/>
      <c r="M88" s="61"/>
      <c r="N88" s="61"/>
      <c r="O88" s="61"/>
      <c r="P88" s="61"/>
      <c r="Q88" s="61"/>
      <c r="R88" s="61"/>
      <c r="S88" s="61"/>
      <c r="T88" s="61"/>
      <c r="U88" s="61"/>
      <c r="W88" s="61"/>
      <c r="X88" s="61"/>
      <c r="Y88" s="61"/>
      <c r="Z88" s="61"/>
      <c r="AA88" s="61"/>
    </row>
    <row r="89" spans="1:27" x14ac:dyDescent="0.35">
      <c r="A89" s="683"/>
      <c r="B89" s="52"/>
      <c r="C89" s="52"/>
      <c r="D89" s="52"/>
      <c r="E89" s="61"/>
      <c r="F89" s="61"/>
      <c r="G89" s="61"/>
      <c r="H89" s="61"/>
      <c r="I89" s="61"/>
      <c r="J89" s="61"/>
      <c r="K89" s="61"/>
      <c r="L89" s="61"/>
      <c r="M89" s="61"/>
      <c r="N89" s="61"/>
      <c r="O89" s="61"/>
      <c r="P89" s="61"/>
      <c r="Q89" s="61"/>
      <c r="R89" s="61"/>
      <c r="S89" s="61"/>
      <c r="T89" s="61"/>
      <c r="U89" s="61"/>
      <c r="W89" s="61"/>
      <c r="X89" s="61"/>
      <c r="Y89" s="61"/>
      <c r="Z89" s="61"/>
      <c r="AA89" s="61"/>
    </row>
  </sheetData>
  <mergeCells count="1">
    <mergeCell ref="A1:A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92"/>
  <sheetViews>
    <sheetView view="pageBreakPreview" zoomScale="60" zoomScaleNormal="100" workbookViewId="0">
      <selection activeCell="B12" sqref="B12"/>
    </sheetView>
  </sheetViews>
  <sheetFormatPr defaultRowHeight="21" x14ac:dyDescent="0.5"/>
  <cols>
    <col min="1" max="1" width="89.36328125" style="13" customWidth="1"/>
    <col min="2" max="2" width="26" style="12" customWidth="1"/>
    <col min="3" max="3" width="17.6328125" style="13" hidden="1" customWidth="1"/>
    <col min="4" max="4" width="21.453125" style="13" hidden="1" customWidth="1"/>
    <col min="5" max="5" width="20.54296875" style="13" hidden="1" customWidth="1"/>
    <col min="6" max="6" width="16.453125" style="13" hidden="1" customWidth="1"/>
    <col min="7" max="7" width="25.90625" style="13" customWidth="1"/>
  </cols>
  <sheetData>
    <row r="2" spans="1:7" x14ac:dyDescent="0.5">
      <c r="A2" s="13" t="s">
        <v>94</v>
      </c>
    </row>
    <row r="3" spans="1:7" x14ac:dyDescent="0.5">
      <c r="A3" s="41" t="s">
        <v>95</v>
      </c>
    </row>
    <row r="4" spans="1:7" x14ac:dyDescent="0.5">
      <c r="A4" s="12" t="s">
        <v>96</v>
      </c>
    </row>
    <row r="5" spans="1:7" ht="21.5" thickBot="1" x14ac:dyDescent="0.55000000000000004">
      <c r="A5" s="14"/>
      <c r="C5" s="15"/>
      <c r="D5" s="15"/>
      <c r="E5" s="16"/>
      <c r="F5" s="15"/>
    </row>
    <row r="6" spans="1:7" x14ac:dyDescent="0.5">
      <c r="A6" s="40" t="s">
        <v>1</v>
      </c>
      <c r="B6" s="17" t="s">
        <v>2</v>
      </c>
      <c r="C6" s="18" t="s">
        <v>3</v>
      </c>
      <c r="D6" s="18" t="s">
        <v>5</v>
      </c>
      <c r="E6" s="19" t="s">
        <v>3</v>
      </c>
      <c r="F6" s="18" t="s">
        <v>5</v>
      </c>
    </row>
    <row r="7" spans="1:7" x14ac:dyDescent="0.35">
      <c r="A7" s="22" t="s">
        <v>97</v>
      </c>
      <c r="B7" s="23">
        <f>11092868.48+322309.5+321996.35+322309.5+322309.5+321683.2+322309.5</f>
        <v>13025786.029999999</v>
      </c>
      <c r="C7" s="20"/>
      <c r="D7" s="20"/>
      <c r="E7" s="21"/>
      <c r="F7" s="21"/>
      <c r="G7" s="24"/>
    </row>
    <row r="8" spans="1:7" x14ac:dyDescent="0.5">
      <c r="A8" s="22" t="s">
        <v>98</v>
      </c>
      <c r="B8" s="23">
        <f>2290296.74+3454.95+1003.05+620575.55</f>
        <v>2915330.29</v>
      </c>
      <c r="C8" s="20"/>
      <c r="D8" s="20"/>
      <c r="E8" s="21"/>
      <c r="F8" s="21"/>
    </row>
    <row r="9" spans="1:7" x14ac:dyDescent="0.5">
      <c r="A9" s="25" t="s">
        <v>99</v>
      </c>
      <c r="B9" s="26">
        <v>3752039.44</v>
      </c>
      <c r="C9" s="27"/>
      <c r="D9" s="27">
        <v>0</v>
      </c>
      <c r="E9" s="28"/>
      <c r="F9" s="27">
        <v>0</v>
      </c>
    </row>
    <row r="10" spans="1:7" x14ac:dyDescent="0.5">
      <c r="A10" s="293" t="s">
        <v>100</v>
      </c>
      <c r="B10" s="29">
        <v>1310332.29</v>
      </c>
      <c r="C10" s="1030"/>
      <c r="D10" s="1030"/>
      <c r="E10" s="1030"/>
      <c r="F10" s="1030"/>
    </row>
    <row r="11" spans="1:7" x14ac:dyDescent="0.5">
      <c r="A11" s="22" t="s">
        <v>101</v>
      </c>
      <c r="B11" s="29">
        <f>2578844.05+4613.11+4464.3+4613.11+4613.11+4315.49+4613.11</f>
        <v>2606076.2799999993</v>
      </c>
      <c r="C11" s="849"/>
      <c r="D11" s="849"/>
      <c r="E11" s="849"/>
      <c r="F11" s="849"/>
    </row>
    <row r="12" spans="1:7" x14ac:dyDescent="0.5">
      <c r="A12" s="293" t="s">
        <v>102</v>
      </c>
      <c r="B12" s="29">
        <v>829085.82000000007</v>
      </c>
      <c r="C12" s="28"/>
      <c r="D12" s="28"/>
      <c r="E12" s="28"/>
      <c r="F12" s="28"/>
    </row>
    <row r="13" spans="1:7" x14ac:dyDescent="0.5">
      <c r="A13" s="293" t="s">
        <v>103</v>
      </c>
      <c r="B13" s="29">
        <v>251419.69</v>
      </c>
      <c r="C13" s="28"/>
      <c r="D13" s="28">
        <v>0</v>
      </c>
      <c r="E13" s="28"/>
      <c r="F13" s="28">
        <v>0</v>
      </c>
    </row>
    <row r="14" spans="1:7" x14ac:dyDescent="0.5">
      <c r="A14" s="25" t="s">
        <v>104</v>
      </c>
      <c r="B14" s="26">
        <v>175117.78000000003</v>
      </c>
      <c r="C14" s="27"/>
      <c r="D14" s="27">
        <v>0</v>
      </c>
      <c r="E14" s="28"/>
      <c r="F14" s="27">
        <v>0</v>
      </c>
    </row>
    <row r="15" spans="1:7" x14ac:dyDescent="0.5">
      <c r="A15" s="25" t="s">
        <v>105</v>
      </c>
      <c r="B15" s="26">
        <v>162948.43</v>
      </c>
      <c r="C15" s="27"/>
      <c r="D15" s="27">
        <v>0</v>
      </c>
      <c r="E15" s="28"/>
      <c r="F15" s="27">
        <v>0</v>
      </c>
    </row>
    <row r="16" spans="1:7" x14ac:dyDescent="0.5">
      <c r="A16" s="25" t="s">
        <v>106</v>
      </c>
      <c r="B16" s="26">
        <v>100621.96</v>
      </c>
      <c r="C16" s="27"/>
      <c r="D16" s="27">
        <v>0</v>
      </c>
      <c r="E16" s="28"/>
      <c r="F16" s="27">
        <v>0</v>
      </c>
    </row>
    <row r="17" spans="1:6" x14ac:dyDescent="0.5">
      <c r="A17" s="25" t="s">
        <v>107</v>
      </c>
      <c r="B17" s="26">
        <v>100350.74</v>
      </c>
      <c r="C17" s="27"/>
      <c r="D17" s="27">
        <v>0</v>
      </c>
      <c r="E17" s="28"/>
      <c r="F17" s="27">
        <v>0</v>
      </c>
    </row>
    <row r="18" spans="1:6" x14ac:dyDescent="0.5">
      <c r="A18" s="22" t="s">
        <v>108</v>
      </c>
      <c r="B18" s="26">
        <v>97300.37</v>
      </c>
      <c r="C18" s="27"/>
      <c r="D18" s="27">
        <v>0</v>
      </c>
      <c r="E18" s="30"/>
      <c r="F18" s="27">
        <v>0</v>
      </c>
    </row>
    <row r="19" spans="1:6" x14ac:dyDescent="0.5">
      <c r="A19" s="22" t="s">
        <v>109</v>
      </c>
      <c r="B19" s="26">
        <v>80647.39</v>
      </c>
      <c r="C19" s="27"/>
      <c r="D19" s="27">
        <v>0</v>
      </c>
      <c r="E19" s="30"/>
      <c r="F19" s="27">
        <v>0</v>
      </c>
    </row>
    <row r="20" spans="1:6" x14ac:dyDescent="0.5">
      <c r="A20" s="22" t="s">
        <v>110</v>
      </c>
      <c r="B20" s="26">
        <v>65789.47</v>
      </c>
      <c r="C20" s="27"/>
      <c r="D20" s="27">
        <v>0</v>
      </c>
      <c r="E20" s="30"/>
      <c r="F20" s="27">
        <v>0</v>
      </c>
    </row>
    <row r="21" spans="1:6" x14ac:dyDescent="0.5">
      <c r="A21" s="22" t="s">
        <v>111</v>
      </c>
      <c r="B21" s="26">
        <v>56771</v>
      </c>
      <c r="C21" s="27"/>
      <c r="D21" s="27">
        <v>0</v>
      </c>
      <c r="E21" s="30"/>
      <c r="F21" s="27">
        <v>0</v>
      </c>
    </row>
    <row r="22" spans="1:6" x14ac:dyDescent="0.5">
      <c r="A22" s="22" t="s">
        <v>112</v>
      </c>
      <c r="B22" s="26">
        <v>54257.82</v>
      </c>
      <c r="C22" s="27"/>
      <c r="D22" s="27">
        <v>0</v>
      </c>
      <c r="E22" s="30"/>
      <c r="F22" s="27">
        <v>0</v>
      </c>
    </row>
    <row r="23" spans="1:6" x14ac:dyDescent="0.5">
      <c r="A23" s="22" t="s">
        <v>113</v>
      </c>
      <c r="B23" s="26">
        <v>38704.17</v>
      </c>
      <c r="C23" s="27"/>
      <c r="D23" s="27">
        <v>0</v>
      </c>
      <c r="E23" s="30"/>
      <c r="F23" s="27">
        <v>0</v>
      </c>
    </row>
    <row r="24" spans="1:6" x14ac:dyDescent="0.5">
      <c r="A24" s="22" t="s">
        <v>114</v>
      </c>
      <c r="B24" s="26">
        <v>38584.76</v>
      </c>
      <c r="C24" s="27"/>
      <c r="D24" s="27">
        <v>0</v>
      </c>
      <c r="E24" s="30"/>
      <c r="F24" s="27">
        <v>0</v>
      </c>
    </row>
    <row r="25" spans="1:6" x14ac:dyDescent="0.5">
      <c r="A25" s="22" t="s">
        <v>115</v>
      </c>
      <c r="B25" s="26">
        <v>35809.4</v>
      </c>
      <c r="C25" s="27"/>
      <c r="D25" s="27">
        <v>0</v>
      </c>
      <c r="E25" s="30"/>
      <c r="F25" s="27">
        <v>0</v>
      </c>
    </row>
    <row r="26" spans="1:6" x14ac:dyDescent="0.5">
      <c r="A26" s="22" t="s">
        <v>116</v>
      </c>
      <c r="B26" s="26">
        <v>35141.08</v>
      </c>
      <c r="C26" s="27"/>
      <c r="D26" s="27">
        <v>0</v>
      </c>
      <c r="E26" s="30"/>
      <c r="F26" s="27">
        <v>0</v>
      </c>
    </row>
    <row r="27" spans="1:6" x14ac:dyDescent="0.5">
      <c r="A27" s="22" t="s">
        <v>117</v>
      </c>
      <c r="B27" s="26">
        <v>31541.599999999999</v>
      </c>
      <c r="C27" s="27"/>
      <c r="D27" s="27">
        <v>0</v>
      </c>
      <c r="E27" s="30"/>
      <c r="F27" s="27">
        <v>0</v>
      </c>
    </row>
    <row r="28" spans="1:6" x14ac:dyDescent="0.5">
      <c r="A28" s="22" t="s">
        <v>118</v>
      </c>
      <c r="B28" s="26">
        <v>30147.53</v>
      </c>
      <c r="C28" s="27"/>
      <c r="D28" s="27">
        <v>0</v>
      </c>
      <c r="E28" s="30"/>
      <c r="F28" s="27">
        <v>0</v>
      </c>
    </row>
    <row r="29" spans="1:6" x14ac:dyDescent="0.5">
      <c r="A29" s="22" t="s">
        <v>119</v>
      </c>
      <c r="B29" s="26">
        <v>27905.4</v>
      </c>
      <c r="C29" s="27"/>
      <c r="D29" s="27">
        <v>0</v>
      </c>
      <c r="E29" s="30"/>
      <c r="F29" s="27">
        <v>0</v>
      </c>
    </row>
    <row r="30" spans="1:6" x14ac:dyDescent="0.5">
      <c r="A30" s="22" t="s">
        <v>120</v>
      </c>
      <c r="B30" s="26">
        <v>24304.48</v>
      </c>
      <c r="C30" s="27"/>
      <c r="D30" s="27">
        <v>0</v>
      </c>
      <c r="E30" s="30"/>
      <c r="F30" s="27">
        <v>0</v>
      </c>
    </row>
    <row r="31" spans="1:6" x14ac:dyDescent="0.5">
      <c r="A31" s="22" t="s">
        <v>121</v>
      </c>
      <c r="B31" s="26">
        <v>22219.37</v>
      </c>
      <c r="C31" s="27"/>
      <c r="D31" s="27">
        <v>0</v>
      </c>
      <c r="E31" s="30"/>
      <c r="F31" s="27">
        <v>0</v>
      </c>
    </row>
    <row r="32" spans="1:6" x14ac:dyDescent="0.5">
      <c r="A32" s="22" t="s">
        <v>122</v>
      </c>
      <c r="B32" s="26">
        <v>20883.91</v>
      </c>
      <c r="C32" s="27"/>
      <c r="D32" s="27">
        <v>0</v>
      </c>
      <c r="E32" s="30"/>
      <c r="F32" s="27">
        <v>0</v>
      </c>
    </row>
    <row r="33" spans="1:6" x14ac:dyDescent="0.5">
      <c r="A33" s="22" t="s">
        <v>123</v>
      </c>
      <c r="B33" s="26">
        <v>20333.009999999998</v>
      </c>
      <c r="C33" s="27"/>
      <c r="D33" s="27">
        <v>0</v>
      </c>
      <c r="E33" s="30"/>
      <c r="F33" s="27">
        <v>0</v>
      </c>
    </row>
    <row r="34" spans="1:6" x14ac:dyDescent="0.5">
      <c r="A34" s="22" t="s">
        <v>124</v>
      </c>
      <c r="B34" s="26">
        <v>19623.86</v>
      </c>
      <c r="C34" s="27"/>
      <c r="D34" s="27">
        <v>0</v>
      </c>
      <c r="E34" s="30"/>
      <c r="F34" s="27">
        <v>0</v>
      </c>
    </row>
    <row r="35" spans="1:6" x14ac:dyDescent="0.5">
      <c r="A35" s="22" t="s">
        <v>125</v>
      </c>
      <c r="B35" s="26">
        <v>18750.62</v>
      </c>
      <c r="C35" s="27"/>
      <c r="D35" s="27">
        <v>0</v>
      </c>
      <c r="E35" s="30"/>
      <c r="F35" s="27">
        <v>0</v>
      </c>
    </row>
    <row r="36" spans="1:6" x14ac:dyDescent="0.5">
      <c r="A36" s="22" t="s">
        <v>126</v>
      </c>
      <c r="B36" s="26">
        <v>17861.23</v>
      </c>
      <c r="C36" s="27"/>
      <c r="D36" s="27">
        <v>0</v>
      </c>
      <c r="E36" s="30"/>
      <c r="F36" s="27">
        <v>0</v>
      </c>
    </row>
    <row r="37" spans="1:6" x14ac:dyDescent="0.5">
      <c r="A37" s="22" t="s">
        <v>127</v>
      </c>
      <c r="B37" s="26">
        <v>16932</v>
      </c>
      <c r="C37" s="27"/>
      <c r="D37" s="27">
        <v>0</v>
      </c>
      <c r="E37" s="30"/>
      <c r="F37" s="27">
        <v>0</v>
      </c>
    </row>
    <row r="38" spans="1:6" x14ac:dyDescent="0.5">
      <c r="A38" s="22" t="s">
        <v>128</v>
      </c>
      <c r="B38" s="26">
        <v>15378.5</v>
      </c>
      <c r="C38" s="27"/>
      <c r="D38" s="27">
        <v>0</v>
      </c>
      <c r="E38" s="30"/>
      <c r="F38" s="27">
        <v>0</v>
      </c>
    </row>
    <row r="39" spans="1:6" x14ac:dyDescent="0.5">
      <c r="A39" s="22" t="s">
        <v>129</v>
      </c>
      <c r="B39" s="26">
        <v>13819.87</v>
      </c>
      <c r="C39" s="27"/>
      <c r="D39" s="27">
        <v>0</v>
      </c>
      <c r="E39" s="30"/>
      <c r="F39" s="27">
        <v>0</v>
      </c>
    </row>
    <row r="40" spans="1:6" x14ac:dyDescent="0.5">
      <c r="A40" s="22" t="s">
        <v>130</v>
      </c>
      <c r="B40" s="26">
        <v>11008.94</v>
      </c>
      <c r="C40" s="27"/>
      <c r="D40" s="27">
        <v>0</v>
      </c>
      <c r="E40" s="30"/>
      <c r="F40" s="27">
        <v>0</v>
      </c>
    </row>
    <row r="41" spans="1:6" x14ac:dyDescent="0.5">
      <c r="A41" s="22" t="s">
        <v>131</v>
      </c>
      <c r="B41" s="26">
        <v>10943.25</v>
      </c>
      <c r="C41" s="27"/>
      <c r="D41" s="27">
        <v>0</v>
      </c>
      <c r="E41" s="30"/>
      <c r="F41" s="27">
        <v>0</v>
      </c>
    </row>
    <row r="42" spans="1:6" x14ac:dyDescent="0.5">
      <c r="A42" s="22" t="s">
        <v>132</v>
      </c>
      <c r="B42" s="26">
        <v>10237.17</v>
      </c>
      <c r="C42" s="27"/>
      <c r="D42" s="27">
        <v>0</v>
      </c>
      <c r="E42" s="30"/>
      <c r="F42" s="27">
        <v>0</v>
      </c>
    </row>
    <row r="43" spans="1:6" x14ac:dyDescent="0.5">
      <c r="A43" s="22" t="s">
        <v>133</v>
      </c>
      <c r="B43" s="26">
        <v>8634.9</v>
      </c>
      <c r="C43" s="27"/>
      <c r="D43" s="27">
        <v>0</v>
      </c>
      <c r="E43" s="30"/>
      <c r="F43" s="27">
        <v>0</v>
      </c>
    </row>
    <row r="44" spans="1:6" x14ac:dyDescent="0.5">
      <c r="A44" s="22" t="s">
        <v>134</v>
      </c>
      <c r="B44" s="26">
        <v>7678.6</v>
      </c>
      <c r="C44" s="27"/>
      <c r="D44" s="27">
        <v>0</v>
      </c>
      <c r="E44" s="30"/>
      <c r="F44" s="27">
        <v>0</v>
      </c>
    </row>
    <row r="45" spans="1:6" x14ac:dyDescent="0.5">
      <c r="A45" s="22" t="s">
        <v>135</v>
      </c>
      <c r="B45" s="26">
        <v>7519.6</v>
      </c>
      <c r="C45" s="27"/>
      <c r="D45" s="27">
        <v>0</v>
      </c>
      <c r="E45" s="30"/>
      <c r="F45" s="27">
        <v>0</v>
      </c>
    </row>
    <row r="46" spans="1:6" x14ac:dyDescent="0.5">
      <c r="A46" s="22" t="s">
        <v>136</v>
      </c>
      <c r="B46" s="26">
        <v>7262.73</v>
      </c>
      <c r="C46" s="27"/>
      <c r="D46" s="27">
        <v>0</v>
      </c>
      <c r="E46" s="30"/>
      <c r="F46" s="27">
        <v>0</v>
      </c>
    </row>
    <row r="47" spans="1:6" x14ac:dyDescent="0.5">
      <c r="A47" s="22" t="s">
        <v>137</v>
      </c>
      <c r="B47" s="26">
        <v>7104.32</v>
      </c>
      <c r="C47" s="27"/>
      <c r="D47" s="27">
        <v>0</v>
      </c>
      <c r="E47" s="30"/>
      <c r="F47" s="27">
        <v>0</v>
      </c>
    </row>
    <row r="48" spans="1:6" x14ac:dyDescent="0.5">
      <c r="A48" s="22" t="s">
        <v>138</v>
      </c>
      <c r="B48" s="26">
        <v>6594.48</v>
      </c>
      <c r="C48" s="27"/>
      <c r="D48" s="27">
        <v>0</v>
      </c>
      <c r="E48" s="30"/>
      <c r="F48" s="27">
        <v>0</v>
      </c>
    </row>
    <row r="49" spans="1:6" x14ac:dyDescent="0.5">
      <c r="A49" s="22" t="s">
        <v>139</v>
      </c>
      <c r="B49" s="26">
        <v>6293.52</v>
      </c>
      <c r="C49" s="27"/>
      <c r="D49" s="27">
        <v>0</v>
      </c>
      <c r="E49" s="30"/>
      <c r="F49" s="27">
        <v>0</v>
      </c>
    </row>
    <row r="50" spans="1:6" x14ac:dyDescent="0.5">
      <c r="A50" s="22" t="s">
        <v>140</v>
      </c>
      <c r="B50" s="26">
        <v>5616</v>
      </c>
      <c r="C50" s="27"/>
      <c r="D50" s="27">
        <v>0</v>
      </c>
      <c r="E50" s="30"/>
      <c r="F50" s="27">
        <v>0</v>
      </c>
    </row>
    <row r="51" spans="1:6" x14ac:dyDescent="0.5">
      <c r="A51" s="22" t="s">
        <v>141</v>
      </c>
      <c r="B51" s="26">
        <v>5346.56</v>
      </c>
      <c r="C51" s="27"/>
      <c r="D51" s="27">
        <v>0</v>
      </c>
      <c r="E51" s="30"/>
      <c r="F51" s="27">
        <v>0</v>
      </c>
    </row>
    <row r="52" spans="1:6" x14ac:dyDescent="0.5">
      <c r="A52" s="22" t="s">
        <v>142</v>
      </c>
      <c r="B52" s="26">
        <v>5272.53</v>
      </c>
      <c r="C52" s="27"/>
      <c r="D52" s="27">
        <v>0</v>
      </c>
      <c r="E52" s="30"/>
      <c r="F52" s="27">
        <v>0</v>
      </c>
    </row>
    <row r="53" spans="1:6" x14ac:dyDescent="0.5">
      <c r="A53" s="22" t="s">
        <v>143</v>
      </c>
      <c r="B53" s="26">
        <v>5009.8100000000004</v>
      </c>
      <c r="C53" s="27"/>
      <c r="D53" s="27">
        <v>0</v>
      </c>
      <c r="E53" s="30"/>
      <c r="F53" s="27">
        <v>0</v>
      </c>
    </row>
    <row r="54" spans="1:6" x14ac:dyDescent="0.5">
      <c r="A54" s="22" t="s">
        <v>144</v>
      </c>
      <c r="B54" s="26">
        <v>4679.0499999999993</v>
      </c>
      <c r="C54" s="27"/>
      <c r="D54" s="27">
        <v>0</v>
      </c>
      <c r="E54" s="30"/>
      <c r="F54" s="27">
        <v>0</v>
      </c>
    </row>
    <row r="55" spans="1:6" x14ac:dyDescent="0.5">
      <c r="A55" s="22" t="s">
        <v>145</v>
      </c>
      <c r="B55" s="26">
        <v>3895.19</v>
      </c>
      <c r="C55" s="27"/>
      <c r="D55" s="27">
        <v>0</v>
      </c>
      <c r="E55" s="30"/>
      <c r="F55" s="27">
        <v>0</v>
      </c>
    </row>
    <row r="56" spans="1:6" x14ac:dyDescent="0.5">
      <c r="A56" s="22" t="s">
        <v>146</v>
      </c>
      <c r="B56" s="26">
        <v>3626.05</v>
      </c>
      <c r="C56" s="27"/>
      <c r="D56" s="27">
        <v>0</v>
      </c>
      <c r="E56" s="30"/>
      <c r="F56" s="27">
        <v>0</v>
      </c>
    </row>
    <row r="57" spans="1:6" x14ac:dyDescent="0.5">
      <c r="A57" s="22" t="s">
        <v>147</v>
      </c>
      <c r="B57" s="26">
        <v>2901.73</v>
      </c>
      <c r="C57" s="27"/>
      <c r="D57" s="27">
        <v>0</v>
      </c>
      <c r="E57" s="30"/>
      <c r="F57" s="27">
        <v>0</v>
      </c>
    </row>
    <row r="58" spans="1:6" x14ac:dyDescent="0.5">
      <c r="A58" s="22" t="s">
        <v>148</v>
      </c>
      <c r="B58" s="26">
        <v>2363.19</v>
      </c>
      <c r="C58" s="27"/>
      <c r="D58" s="27">
        <v>0</v>
      </c>
      <c r="E58" s="30"/>
      <c r="F58" s="27">
        <v>0</v>
      </c>
    </row>
    <row r="59" spans="1:6" x14ac:dyDescent="0.5">
      <c r="A59" s="22" t="s">
        <v>149</v>
      </c>
      <c r="B59" s="26">
        <v>2259.14</v>
      </c>
      <c r="C59" s="27"/>
      <c r="D59" s="27">
        <v>0</v>
      </c>
      <c r="E59" s="30"/>
      <c r="F59" s="27">
        <v>0</v>
      </c>
    </row>
    <row r="60" spans="1:6" x14ac:dyDescent="0.5">
      <c r="A60" s="22" t="s">
        <v>150</v>
      </c>
      <c r="B60" s="26">
        <v>2146</v>
      </c>
      <c r="C60" s="27"/>
      <c r="D60" s="27">
        <v>0</v>
      </c>
      <c r="E60" s="30"/>
      <c r="F60" s="27">
        <v>0</v>
      </c>
    </row>
    <row r="61" spans="1:6" x14ac:dyDescent="0.5">
      <c r="A61" s="22" t="s">
        <v>151</v>
      </c>
      <c r="B61" s="26">
        <v>2134.9</v>
      </c>
      <c r="C61" s="27"/>
      <c r="D61" s="27">
        <v>0</v>
      </c>
      <c r="E61" s="30"/>
      <c r="F61" s="27">
        <v>0</v>
      </c>
    </row>
    <row r="62" spans="1:6" x14ac:dyDescent="0.5">
      <c r="A62" s="22" t="s">
        <v>152</v>
      </c>
      <c r="B62" s="26">
        <v>2110.25</v>
      </c>
      <c r="C62" s="27"/>
      <c r="D62" s="27">
        <v>0</v>
      </c>
      <c r="E62" s="30"/>
      <c r="F62" s="27">
        <v>0</v>
      </c>
    </row>
    <row r="63" spans="1:6" x14ac:dyDescent="0.5">
      <c r="A63" s="22" t="s">
        <v>153</v>
      </c>
      <c r="B63" s="26">
        <v>1881.05</v>
      </c>
      <c r="C63" s="27"/>
      <c r="D63" s="27">
        <v>0</v>
      </c>
      <c r="E63" s="30"/>
      <c r="F63" s="27">
        <v>0</v>
      </c>
    </row>
    <row r="64" spans="1:6" x14ac:dyDescent="0.5">
      <c r="A64" s="22" t="s">
        <v>154</v>
      </c>
      <c r="B64" s="26">
        <v>1392.59</v>
      </c>
      <c r="C64" s="27"/>
      <c r="D64" s="27">
        <v>0</v>
      </c>
      <c r="E64" s="30"/>
      <c r="F64" s="27">
        <v>0</v>
      </c>
    </row>
    <row r="65" spans="1:6" x14ac:dyDescent="0.5">
      <c r="A65" s="22" t="s">
        <v>155</v>
      </c>
      <c r="B65" s="26">
        <v>1300.98</v>
      </c>
      <c r="C65" s="27"/>
      <c r="D65" s="27">
        <v>0</v>
      </c>
      <c r="E65" s="30"/>
      <c r="F65" s="27">
        <v>0</v>
      </c>
    </row>
    <row r="66" spans="1:6" x14ac:dyDescent="0.5">
      <c r="A66" s="22" t="s">
        <v>156</v>
      </c>
      <c r="B66" s="26">
        <v>1217.17</v>
      </c>
      <c r="C66" s="27"/>
      <c r="D66" s="27">
        <v>0</v>
      </c>
      <c r="E66" s="30"/>
      <c r="F66" s="27">
        <v>0</v>
      </c>
    </row>
    <row r="67" spans="1:6" x14ac:dyDescent="0.5">
      <c r="A67" s="22" t="s">
        <v>157</v>
      </c>
      <c r="B67" s="26">
        <v>1209.23</v>
      </c>
      <c r="C67" s="27"/>
      <c r="D67" s="27">
        <v>0</v>
      </c>
      <c r="E67" s="30"/>
      <c r="F67" s="27">
        <v>0</v>
      </c>
    </row>
    <row r="68" spans="1:6" x14ac:dyDescent="0.5">
      <c r="A68" s="22" t="s">
        <v>158</v>
      </c>
      <c r="B68" s="26">
        <v>870.28</v>
      </c>
      <c r="C68" s="27"/>
      <c r="D68" s="27">
        <v>0</v>
      </c>
      <c r="E68" s="30"/>
      <c r="F68" s="27">
        <v>0</v>
      </c>
    </row>
    <row r="69" spans="1:6" x14ac:dyDescent="0.5">
      <c r="A69" s="22" t="s">
        <v>159</v>
      </c>
      <c r="B69" s="26">
        <v>768.61</v>
      </c>
      <c r="C69" s="27"/>
      <c r="D69" s="27">
        <v>0</v>
      </c>
      <c r="E69" s="30"/>
      <c r="F69" s="27">
        <v>0</v>
      </c>
    </row>
    <row r="70" spans="1:6" x14ac:dyDescent="0.5">
      <c r="A70" s="22" t="s">
        <v>160</v>
      </c>
      <c r="B70" s="26">
        <v>753.01</v>
      </c>
      <c r="C70" s="27"/>
      <c r="D70" s="27">
        <v>0</v>
      </c>
      <c r="E70" s="30"/>
      <c r="F70" s="27">
        <v>0</v>
      </c>
    </row>
    <row r="71" spans="1:6" x14ac:dyDescent="0.5">
      <c r="A71" s="22" t="s">
        <v>161</v>
      </c>
      <c r="B71" s="26">
        <v>696</v>
      </c>
      <c r="C71" s="27"/>
      <c r="D71" s="27">
        <v>0</v>
      </c>
      <c r="E71" s="30"/>
      <c r="F71" s="27">
        <v>0</v>
      </c>
    </row>
    <row r="72" spans="1:6" x14ac:dyDescent="0.5">
      <c r="A72" s="22" t="s">
        <v>162</v>
      </c>
      <c r="B72" s="26">
        <v>687.52</v>
      </c>
      <c r="C72" s="27"/>
      <c r="D72" s="27">
        <v>0</v>
      </c>
      <c r="E72" s="30"/>
      <c r="F72" s="27">
        <v>0</v>
      </c>
    </row>
    <row r="73" spans="1:6" x14ac:dyDescent="0.5">
      <c r="A73" s="22" t="s">
        <v>163</v>
      </c>
      <c r="B73" s="26">
        <v>662.4</v>
      </c>
      <c r="C73" s="27"/>
      <c r="D73" s="27">
        <v>0</v>
      </c>
      <c r="E73" s="30"/>
      <c r="F73" s="27">
        <v>0</v>
      </c>
    </row>
    <row r="74" spans="1:6" x14ac:dyDescent="0.5">
      <c r="A74" s="22" t="s">
        <v>164</v>
      </c>
      <c r="B74" s="26">
        <v>642</v>
      </c>
      <c r="C74" s="27"/>
      <c r="D74" s="27">
        <v>0</v>
      </c>
      <c r="E74" s="30"/>
      <c r="F74" s="27">
        <v>0</v>
      </c>
    </row>
    <row r="75" spans="1:6" x14ac:dyDescent="0.5">
      <c r="A75" s="22" t="s">
        <v>165</v>
      </c>
      <c r="B75" s="26">
        <v>465</v>
      </c>
      <c r="C75" s="27"/>
      <c r="D75" s="27">
        <v>0</v>
      </c>
      <c r="E75" s="30"/>
      <c r="F75" s="27">
        <v>0</v>
      </c>
    </row>
    <row r="76" spans="1:6" x14ac:dyDescent="0.5">
      <c r="A76" s="22" t="s">
        <v>166</v>
      </c>
      <c r="B76" s="26">
        <v>335.18</v>
      </c>
      <c r="C76" s="27"/>
      <c r="D76" s="27">
        <v>0</v>
      </c>
      <c r="E76" s="30"/>
      <c r="F76" s="27">
        <v>0</v>
      </c>
    </row>
    <row r="77" spans="1:6" x14ac:dyDescent="0.5">
      <c r="A77" s="22" t="s">
        <v>167</v>
      </c>
      <c r="B77" s="26">
        <v>258.75</v>
      </c>
      <c r="C77" s="27"/>
      <c r="D77" s="27">
        <v>0</v>
      </c>
      <c r="E77" s="30"/>
      <c r="F77" s="27">
        <v>0</v>
      </c>
    </row>
    <row r="78" spans="1:6" x14ac:dyDescent="0.5">
      <c r="A78" s="22" t="s">
        <v>168</v>
      </c>
      <c r="B78" s="26">
        <v>239.9</v>
      </c>
      <c r="C78" s="27"/>
      <c r="D78" s="27">
        <v>0</v>
      </c>
      <c r="E78" s="30"/>
      <c r="F78" s="27">
        <v>0</v>
      </c>
    </row>
    <row r="79" spans="1:6" x14ac:dyDescent="0.5">
      <c r="A79" s="22" t="s">
        <v>169</v>
      </c>
      <c r="B79" s="26">
        <v>235</v>
      </c>
      <c r="C79" s="27"/>
      <c r="D79" s="27">
        <v>0</v>
      </c>
      <c r="E79" s="30"/>
      <c r="F79" s="27">
        <v>0</v>
      </c>
    </row>
    <row r="80" spans="1:6" x14ac:dyDescent="0.5">
      <c r="A80" s="22" t="s">
        <v>170</v>
      </c>
      <c r="B80" s="26">
        <v>200</v>
      </c>
      <c r="C80" s="27"/>
      <c r="D80" s="27">
        <v>0</v>
      </c>
      <c r="E80" s="30"/>
      <c r="F80" s="27">
        <v>0</v>
      </c>
    </row>
    <row r="81" spans="1:6" x14ac:dyDescent="0.5">
      <c r="A81" s="22" t="s">
        <v>171</v>
      </c>
      <c r="B81" s="26">
        <v>198.23</v>
      </c>
      <c r="C81" s="27"/>
      <c r="D81" s="27">
        <v>0</v>
      </c>
      <c r="E81" s="30"/>
      <c r="F81" s="27">
        <v>0</v>
      </c>
    </row>
    <row r="82" spans="1:6" x14ac:dyDescent="0.5">
      <c r="A82" s="22" t="s">
        <v>172</v>
      </c>
      <c r="B82" s="26">
        <v>187.5</v>
      </c>
      <c r="C82" s="27"/>
      <c r="D82" s="27">
        <v>0</v>
      </c>
      <c r="E82" s="30"/>
      <c r="F82" s="27">
        <v>0</v>
      </c>
    </row>
    <row r="83" spans="1:6" x14ac:dyDescent="0.5">
      <c r="A83" s="22" t="s">
        <v>173</v>
      </c>
      <c r="B83" s="26">
        <v>165</v>
      </c>
      <c r="C83" s="27"/>
      <c r="D83" s="27">
        <v>0</v>
      </c>
      <c r="E83" s="30"/>
      <c r="F83" s="27">
        <v>0</v>
      </c>
    </row>
    <row r="84" spans="1:6" x14ac:dyDescent="0.5">
      <c r="A84" s="22" t="s">
        <v>174</v>
      </c>
      <c r="B84" s="26">
        <v>143.38999999999999</v>
      </c>
      <c r="C84" s="27"/>
      <c r="D84" s="27">
        <v>0</v>
      </c>
      <c r="E84" s="30"/>
      <c r="F84" s="27">
        <v>0</v>
      </c>
    </row>
    <row r="85" spans="1:6" x14ac:dyDescent="0.5">
      <c r="A85" s="22" t="s">
        <v>175</v>
      </c>
      <c r="B85" s="26">
        <v>129</v>
      </c>
      <c r="C85" s="27"/>
      <c r="D85" s="27">
        <v>0</v>
      </c>
      <c r="E85" s="30"/>
      <c r="F85" s="27">
        <v>0</v>
      </c>
    </row>
    <row r="86" spans="1:6" x14ac:dyDescent="0.5">
      <c r="A86" s="22" t="s">
        <v>176</v>
      </c>
      <c r="B86" s="26">
        <v>117.84</v>
      </c>
      <c r="C86" s="27"/>
      <c r="D86" s="27">
        <v>0</v>
      </c>
      <c r="E86" s="30"/>
      <c r="F86" s="27">
        <v>0</v>
      </c>
    </row>
    <row r="87" spans="1:6" x14ac:dyDescent="0.5">
      <c r="A87" s="31" t="s">
        <v>177</v>
      </c>
      <c r="B87" s="32">
        <v>80.180000000000007</v>
      </c>
      <c r="C87" s="33"/>
      <c r="D87" s="33">
        <v>0</v>
      </c>
      <c r="E87" s="34"/>
      <c r="F87" s="33"/>
    </row>
    <row r="88" spans="1:6" ht="21.5" thickBot="1" x14ac:dyDescent="0.55000000000000004">
      <c r="A88" s="53" t="s">
        <v>178</v>
      </c>
      <c r="B88" s="54">
        <f>351067+202.05+151145.91+632236.48+388372.5+63958.69+160385.49</f>
        <v>1747368.1199999999</v>
      </c>
      <c r="C88" s="55"/>
      <c r="D88" s="55"/>
      <c r="E88" s="56"/>
      <c r="F88" s="55"/>
    </row>
    <row r="89" spans="1:6" ht="21.5" thickBot="1" x14ac:dyDescent="0.55000000000000004">
      <c r="A89" s="35" t="s">
        <v>6</v>
      </c>
      <c r="B89" s="36">
        <f>SUM(B7:B87)</f>
        <v>26157289.310000017</v>
      </c>
      <c r="C89" s="37">
        <f>SUM(C9:C87)</f>
        <v>0</v>
      </c>
      <c r="D89" s="37">
        <f>SUM(D9:D87)</f>
        <v>0</v>
      </c>
      <c r="E89" s="38">
        <f>SUM(E9:E87)</f>
        <v>0</v>
      </c>
      <c r="F89" s="37">
        <f>SUM(F9:F87)</f>
        <v>0</v>
      </c>
    </row>
    <row r="91" spans="1:6" x14ac:dyDescent="0.5">
      <c r="B91" s="39"/>
    </row>
    <row r="92" spans="1:6" x14ac:dyDescent="0.5">
      <c r="B92" s="39"/>
    </row>
  </sheetData>
  <mergeCells count="1">
    <mergeCell ref="C10:F10"/>
  </mergeCells>
  <pageMargins left="0.7" right="0.7" top="0.75" bottom="0.75" header="0.3" footer="0.3"/>
  <pageSetup paperSize="9" scale="62" orientation="portrait" r:id="rId1"/>
  <rowBreaks count="2" manualBreakCount="2">
    <brk id="38" max="1" man="1"/>
    <brk id="97"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3"/>
  <sheetViews>
    <sheetView view="pageBreakPreview" topLeftCell="A37" zoomScale="60" zoomScaleNormal="100" workbookViewId="0">
      <selection activeCell="A37" sqref="A1:AB1048576"/>
    </sheetView>
  </sheetViews>
  <sheetFormatPr defaultRowHeight="23.5" x14ac:dyDescent="0.55000000000000004"/>
  <cols>
    <col min="1" max="1" width="122.36328125" style="183" customWidth="1"/>
    <col min="2" max="2" width="36.36328125" style="99" hidden="1" customWidth="1"/>
    <col min="3" max="3" width="35.6328125" style="99" hidden="1" customWidth="1"/>
    <col min="4" max="5" width="29.453125" style="185" hidden="1" customWidth="1"/>
    <col min="6" max="6" width="23.08984375" style="185" hidden="1" customWidth="1"/>
    <col min="7" max="7" width="25.90625" style="185" hidden="1" customWidth="1"/>
    <col min="8" max="8" width="25.36328125" style="226" hidden="1" customWidth="1"/>
    <col min="9" max="9" width="23.54296875" style="185" hidden="1" customWidth="1"/>
    <col min="10" max="10" width="32.36328125" style="185" hidden="1" customWidth="1"/>
    <col min="11" max="11" width="29.36328125" style="200" hidden="1" customWidth="1"/>
    <col min="12" max="15" width="29.36328125" style="185" hidden="1" customWidth="1"/>
    <col min="16" max="16" width="32.08984375" style="185" hidden="1" customWidth="1"/>
    <col min="17" max="27" width="37.90625" style="185" hidden="1" customWidth="1"/>
    <col min="28" max="28" width="47.90625" style="91" customWidth="1"/>
    <col min="29" max="29" width="32.6328125" style="154" customWidth="1"/>
    <col min="30" max="30" width="24.6328125" style="136" customWidth="1"/>
    <col min="31" max="31" width="22.6328125" style="136" bestFit="1" customWidth="1"/>
    <col min="32" max="32" width="15.453125" style="92" bestFit="1" customWidth="1"/>
  </cols>
  <sheetData>
    <row r="1" spans="1:31" x14ac:dyDescent="0.55000000000000004">
      <c r="A1" s="1031" t="s">
        <v>0</v>
      </c>
      <c r="B1" s="94"/>
      <c r="C1" s="94"/>
      <c r="D1" s="221"/>
      <c r="E1" s="221"/>
      <c r="F1" s="221"/>
      <c r="G1" s="221"/>
      <c r="H1" s="225"/>
      <c r="I1" s="221"/>
      <c r="J1" s="221"/>
      <c r="K1" s="198"/>
      <c r="L1" s="183"/>
      <c r="M1" s="221"/>
      <c r="N1" s="221"/>
      <c r="O1" s="183"/>
      <c r="P1" s="183"/>
      <c r="Q1" s="183"/>
      <c r="R1" s="183"/>
      <c r="S1" s="183"/>
      <c r="T1" s="183"/>
      <c r="U1" s="183"/>
      <c r="V1" s="183"/>
      <c r="W1" s="183"/>
      <c r="X1" s="183"/>
      <c r="Y1" s="221"/>
      <c r="Z1" s="183"/>
      <c r="AA1" s="183"/>
      <c r="AB1" s="183"/>
      <c r="AC1" s="155"/>
      <c r="AD1" s="134"/>
    </row>
    <row r="2" spans="1:31" x14ac:dyDescent="0.55000000000000004">
      <c r="A2" s="1031"/>
      <c r="B2" s="94"/>
      <c r="C2" s="94"/>
      <c r="D2" s="188"/>
      <c r="E2" s="188"/>
      <c r="F2" s="188"/>
      <c r="G2" s="188"/>
      <c r="H2" s="189"/>
      <c r="I2" s="232"/>
      <c r="J2" s="106"/>
      <c r="K2" s="181"/>
      <c r="L2" s="106"/>
      <c r="M2" s="106"/>
      <c r="N2" s="106"/>
      <c r="O2" s="106"/>
      <c r="P2" s="231"/>
      <c r="Q2" s="231"/>
      <c r="R2" s="231"/>
      <c r="S2" s="231"/>
      <c r="T2" s="231"/>
      <c r="U2" s="231"/>
      <c r="V2" s="231"/>
      <c r="W2" s="231"/>
      <c r="X2" s="231"/>
      <c r="Y2" s="231"/>
      <c r="Z2" s="231"/>
      <c r="AA2" s="231"/>
      <c r="AB2" s="231"/>
      <c r="AC2" s="150"/>
      <c r="AD2" s="134"/>
    </row>
    <row r="3" spans="1:31" ht="24" thickBot="1" x14ac:dyDescent="0.6">
      <c r="A3" s="184">
        <v>41364</v>
      </c>
      <c r="B3" s="94"/>
      <c r="C3" s="94"/>
      <c r="I3" s="221"/>
      <c r="J3" s="172"/>
      <c r="K3" s="198"/>
      <c r="L3" s="183"/>
      <c r="M3" s="221"/>
      <c r="N3" s="221"/>
      <c r="O3" s="183"/>
      <c r="P3" s="183"/>
      <c r="Q3" s="183"/>
      <c r="R3" s="183"/>
      <c r="S3" s="183"/>
      <c r="T3" s="183"/>
      <c r="U3" s="183"/>
      <c r="V3" s="183"/>
      <c r="W3" s="183"/>
      <c r="X3" s="183"/>
      <c r="Y3" s="221"/>
      <c r="Z3" s="183"/>
      <c r="AA3" s="183"/>
      <c r="AB3" s="183"/>
      <c r="AC3" s="150"/>
      <c r="AD3" s="134"/>
    </row>
    <row r="4" spans="1:31" ht="24" thickBot="1" x14ac:dyDescent="0.6">
      <c r="A4" s="186" t="s">
        <v>1</v>
      </c>
      <c r="B4" s="95" t="s">
        <v>179</v>
      </c>
      <c r="C4" s="95" t="s">
        <v>4</v>
      </c>
      <c r="D4" s="187" t="s">
        <v>3</v>
      </c>
      <c r="E4" s="187" t="s">
        <v>5</v>
      </c>
      <c r="F4" s="187" t="s">
        <v>3</v>
      </c>
      <c r="G4" s="187" t="s">
        <v>5</v>
      </c>
      <c r="H4" s="227" t="s">
        <v>3</v>
      </c>
      <c r="I4" s="187" t="s">
        <v>5</v>
      </c>
      <c r="J4" s="187" t="s">
        <v>3</v>
      </c>
      <c r="K4" s="199" t="s">
        <v>5</v>
      </c>
      <c r="L4" s="187" t="s">
        <v>3</v>
      </c>
      <c r="M4" s="222" t="s">
        <v>5</v>
      </c>
      <c r="N4" s="187" t="s">
        <v>3</v>
      </c>
      <c r="O4" s="187" t="s">
        <v>180</v>
      </c>
      <c r="P4" s="187" t="s">
        <v>3</v>
      </c>
      <c r="Q4" s="187" t="s">
        <v>180</v>
      </c>
      <c r="R4" s="187" t="s">
        <v>3</v>
      </c>
      <c r="S4" s="187" t="s">
        <v>180</v>
      </c>
      <c r="T4" s="187" t="s">
        <v>3</v>
      </c>
      <c r="U4" s="187" t="s">
        <v>180</v>
      </c>
      <c r="V4" s="187" t="s">
        <v>3</v>
      </c>
      <c r="W4" s="187" t="s">
        <v>180</v>
      </c>
      <c r="X4" s="187" t="s">
        <v>3</v>
      </c>
      <c r="Y4" s="187" t="s">
        <v>180</v>
      </c>
      <c r="Z4" s="187" t="s">
        <v>181</v>
      </c>
      <c r="AA4" s="187" t="s">
        <v>5</v>
      </c>
      <c r="AB4" s="124" t="s">
        <v>6</v>
      </c>
      <c r="AC4" s="150"/>
      <c r="AD4" s="134"/>
    </row>
    <row r="5" spans="1:31" x14ac:dyDescent="0.55000000000000004">
      <c r="A5" s="186"/>
      <c r="B5" s="95"/>
      <c r="C5" s="95"/>
      <c r="D5" s="204" t="s">
        <v>182</v>
      </c>
      <c r="E5" s="204" t="s">
        <v>182</v>
      </c>
      <c r="F5" s="204" t="s">
        <v>183</v>
      </c>
      <c r="G5" s="204" t="s">
        <v>183</v>
      </c>
      <c r="H5" s="228" t="s">
        <v>184</v>
      </c>
      <c r="I5" s="204" t="s">
        <v>184</v>
      </c>
      <c r="J5" s="203">
        <v>41091</v>
      </c>
      <c r="K5" s="205">
        <v>41091</v>
      </c>
      <c r="L5" s="203">
        <v>41122</v>
      </c>
      <c r="M5" s="203">
        <v>41122</v>
      </c>
      <c r="N5" s="203">
        <v>41153</v>
      </c>
      <c r="O5" s="203">
        <v>41164</v>
      </c>
      <c r="P5" s="203">
        <v>41183</v>
      </c>
      <c r="Q5" s="203">
        <v>41194</v>
      </c>
      <c r="R5" s="203">
        <v>41214</v>
      </c>
      <c r="S5" s="203">
        <v>41225</v>
      </c>
      <c r="T5" s="203">
        <v>41244</v>
      </c>
      <c r="U5" s="203">
        <v>41255</v>
      </c>
      <c r="V5" s="203">
        <v>41275</v>
      </c>
      <c r="W5" s="203">
        <v>41275</v>
      </c>
      <c r="X5" s="203">
        <v>41306</v>
      </c>
      <c r="Y5" s="203">
        <v>41306</v>
      </c>
      <c r="Z5" s="203">
        <v>41334</v>
      </c>
      <c r="AA5" s="111">
        <v>41334</v>
      </c>
      <c r="AB5" s="125"/>
      <c r="AC5" s="151"/>
      <c r="AD5" s="140"/>
    </row>
    <row r="6" spans="1:31" x14ac:dyDescent="0.55000000000000004">
      <c r="A6" s="206" t="s">
        <v>20</v>
      </c>
      <c r="B6" s="96">
        <v>129876734.43000001</v>
      </c>
      <c r="C6" s="96">
        <f>26960.43+560.22</f>
        <v>27520.65</v>
      </c>
      <c r="D6" s="207">
        <f>37152138.87</f>
        <v>37152138.869999997</v>
      </c>
      <c r="E6" s="207">
        <v>9930128.3200000003</v>
      </c>
      <c r="F6" s="207">
        <f>2114689.18+23378.78</f>
        <v>2138067.96</v>
      </c>
      <c r="G6" s="207">
        <v>9452128.0199999996</v>
      </c>
      <c r="H6" s="208">
        <f>38310505.28+2103705.65+2991165.28</f>
        <v>43405376.210000001</v>
      </c>
      <c r="I6" s="218">
        <v>9842027.5800000001</v>
      </c>
      <c r="J6" s="218">
        <v>29232853.530000001</v>
      </c>
      <c r="K6" s="209">
        <v>9282935.6999999993</v>
      </c>
      <c r="L6" s="192">
        <f>2093627.42+1902091.3</f>
        <v>3995718.7199999997</v>
      </c>
      <c r="M6" s="218">
        <v>9465003.7899999991</v>
      </c>
      <c r="N6" s="218">
        <v>7728475.3399999999</v>
      </c>
      <c r="O6" s="192">
        <v>8426032.1699999999</v>
      </c>
      <c r="P6" s="192">
        <v>0</v>
      </c>
      <c r="Q6" s="213">
        <v>8149623.9500000002</v>
      </c>
      <c r="R6" s="192">
        <f>7578734.45+6849828.09+951107.54+1228482.92+495487.79</f>
        <v>17103640.789999999</v>
      </c>
      <c r="S6" s="202">
        <v>7441230.3200000003</v>
      </c>
      <c r="T6" s="192">
        <f>5494511.79+7195657.44</f>
        <v>12690169.23</v>
      </c>
      <c r="U6" s="210">
        <v>6417250.0099999998</v>
      </c>
      <c r="V6" s="210">
        <f>778.55</f>
        <v>778.55</v>
      </c>
      <c r="W6" s="210">
        <v>6497895.25</v>
      </c>
      <c r="X6" s="210">
        <f>6729980.95</f>
        <v>6729980.9500000002</v>
      </c>
      <c r="Y6" s="217">
        <v>7180244.4699999997</v>
      </c>
      <c r="Z6" s="210">
        <f>44197162.57+3949373.22+1106272.69+18128.44+463959.36</f>
        <v>49734896.279999994</v>
      </c>
      <c r="AA6" s="230">
        <v>8553255.1500000004</v>
      </c>
      <c r="AB6" s="125">
        <f t="shared" ref="AB6:AB37" si="0">B6+C6-D6+E6-F6+G6-H6+I6-J6+K6-L6+M6-N6+O6-P6+Q6-R6+S6-T6+U6-V6+W6-X6+Y6-Z6+AA6</f>
        <v>20629913.380000018</v>
      </c>
      <c r="AC6" s="135">
        <v>20629913.379999999</v>
      </c>
      <c r="AD6" s="141">
        <f>AB6-AC6</f>
        <v>0</v>
      </c>
    </row>
    <row r="7" spans="1:31" x14ac:dyDescent="0.55000000000000004">
      <c r="A7" s="190" t="s">
        <v>21</v>
      </c>
      <c r="B7" s="97">
        <v>28490338.960000001</v>
      </c>
      <c r="C7" s="97"/>
      <c r="D7" s="223">
        <f>20853445.97</f>
        <v>20853445.969999999</v>
      </c>
      <c r="E7" s="223">
        <v>1924230.51</v>
      </c>
      <c r="F7" s="223">
        <f>391151.31+94966.32+5426620.2+1627.23</f>
        <v>5914365.0600000005</v>
      </c>
      <c r="G7" s="223">
        <v>2186818.6</v>
      </c>
      <c r="H7" s="191"/>
      <c r="I7" s="223">
        <v>1871977.01</v>
      </c>
      <c r="J7" s="223"/>
      <c r="K7" s="211">
        <v>1866882.13</v>
      </c>
      <c r="L7" s="191"/>
      <c r="M7" s="223">
        <v>2043220.14</v>
      </c>
      <c r="N7" s="223"/>
      <c r="O7" s="191">
        <v>2493238.1800000002</v>
      </c>
      <c r="P7" s="191"/>
      <c r="Q7" s="191">
        <v>1901912.93</v>
      </c>
      <c r="R7" s="191"/>
      <c r="S7" s="202">
        <v>2068840.89</v>
      </c>
      <c r="T7" s="191">
        <v>11809715.01</v>
      </c>
      <c r="U7" s="210">
        <v>1950998.08</v>
      </c>
      <c r="V7" s="210"/>
      <c r="W7" s="210">
        <v>1894456.49</v>
      </c>
      <c r="X7" s="210">
        <f>3626329.5+100414.6+229166.72</f>
        <v>3955910.8200000003</v>
      </c>
      <c r="Y7" s="217">
        <v>2061700.6</v>
      </c>
      <c r="Z7" s="210"/>
      <c r="AA7" s="230">
        <v>2566956.29</v>
      </c>
      <c r="AB7" s="125">
        <f t="shared" si="0"/>
        <v>10788133.949999999</v>
      </c>
      <c r="AC7" s="150">
        <f>7537078.89+2902581.51+348473.55</f>
        <v>10788133.949999999</v>
      </c>
      <c r="AD7" s="141">
        <f t="shared" ref="AD7:AD69" si="1">AB7-AC7</f>
        <v>0</v>
      </c>
    </row>
    <row r="8" spans="1:31" x14ac:dyDescent="0.55000000000000004">
      <c r="A8" s="190" t="s">
        <v>23</v>
      </c>
      <c r="B8" s="101">
        <v>26608620.379999999</v>
      </c>
      <c r="C8" s="101">
        <v>144470.79</v>
      </c>
      <c r="D8" s="223">
        <v>8518300.7400000002</v>
      </c>
      <c r="E8" s="223">
        <v>10005108.130000001</v>
      </c>
      <c r="F8" s="223">
        <v>9455549.8699999992</v>
      </c>
      <c r="G8" s="223">
        <v>9793996.6899999995</v>
      </c>
      <c r="H8" s="191">
        <f>9857562.9+9615795.13</f>
        <v>19473358.030000001</v>
      </c>
      <c r="I8" s="223">
        <v>8310344.3499999996</v>
      </c>
      <c r="J8" s="223"/>
      <c r="K8" s="211">
        <v>9084751.1899999995</v>
      </c>
      <c r="L8" s="191">
        <f>7575364.37</f>
        <v>7575364.3700000001</v>
      </c>
      <c r="M8" s="223">
        <v>8769604.6799999997</v>
      </c>
      <c r="N8" s="223">
        <v>8121982.0700000003</v>
      </c>
      <c r="O8" s="191">
        <v>8883291.5</v>
      </c>
      <c r="P8" s="191">
        <f>9646666.83+8769604.68</f>
        <v>18416271.509999998</v>
      </c>
      <c r="Q8" s="191">
        <v>9117804.8599999994</v>
      </c>
      <c r="R8" s="191">
        <v>8883291.5</v>
      </c>
      <c r="S8" s="202">
        <v>11551432.27</v>
      </c>
      <c r="T8" s="191">
        <v>9117804.8599999994</v>
      </c>
      <c r="U8" s="210">
        <v>7815147.4000000004</v>
      </c>
      <c r="V8" s="210">
        <v>11551432.27</v>
      </c>
      <c r="W8" s="210">
        <v>7807246.7599999998</v>
      </c>
      <c r="X8" s="210">
        <v>15622394.16</v>
      </c>
      <c r="Y8" s="217">
        <v>10095018.18</v>
      </c>
      <c r="Z8" s="210">
        <v>8114169.8799999999</v>
      </c>
      <c r="AA8" s="230">
        <v>10129504.41</v>
      </c>
      <c r="AB8" s="125">
        <f t="shared" si="0"/>
        <v>13266422.330000002</v>
      </c>
      <c r="AC8" s="152">
        <v>13266422.33</v>
      </c>
      <c r="AD8" s="141">
        <v>0</v>
      </c>
    </row>
    <row r="9" spans="1:31" x14ac:dyDescent="0.55000000000000004">
      <c r="A9" s="190" t="s">
        <v>24</v>
      </c>
      <c r="B9" s="97">
        <v>13909260.960000001</v>
      </c>
      <c r="C9" s="99">
        <v>83356.39</v>
      </c>
      <c r="D9" s="218">
        <f>2722220.24+110622.81</f>
        <v>2832843.0500000003</v>
      </c>
      <c r="E9" s="218">
        <v>8472597.7699999996</v>
      </c>
      <c r="F9" s="218">
        <v>0</v>
      </c>
      <c r="G9" s="218">
        <v>5248143.18</v>
      </c>
      <c r="H9" s="192"/>
      <c r="I9" s="218">
        <v>5269448.41</v>
      </c>
      <c r="J9" s="218"/>
      <c r="K9" s="209">
        <v>4973428.5999999996</v>
      </c>
      <c r="L9" s="192">
        <v>4621192.7</v>
      </c>
      <c r="M9" s="218">
        <v>5001421.28</v>
      </c>
      <c r="N9" s="218">
        <f>178298.97+199938.86+4576515.22+6587637.5+40133.33</f>
        <v>11582523.880000001</v>
      </c>
      <c r="O9" s="192">
        <v>5127821.7300000004</v>
      </c>
      <c r="P9" s="192">
        <f>679553.63+28615.7+12285.33+4771888.113+4486137.17</f>
        <v>9978479.943</v>
      </c>
      <c r="Q9" s="192">
        <v>4968692.7300000004</v>
      </c>
      <c r="R9" s="192">
        <f>50757.54+412949.01+107033.83+30004.89+108242.47+106499.12+12131.48+8267.01+4127958.02</f>
        <v>4963843.37</v>
      </c>
      <c r="S9" s="202">
        <v>6181197.3600000003</v>
      </c>
      <c r="T9" s="192">
        <f>21697.59+7048.34+3443553.55+1111121.83+953672.17+6922.73+28622.07+12619.88+135129.29+20266.47</f>
        <v>5740653.9200000009</v>
      </c>
      <c r="U9" s="210">
        <v>4936910.32</v>
      </c>
      <c r="V9" s="210">
        <f>55711.12+202222.15+423150.69+222083.9+126923.48+97907.02+83687.79+25575.44+45950.47</f>
        <v>1283212.0599999998</v>
      </c>
      <c r="W9" s="210">
        <v>5051630.1500000004</v>
      </c>
      <c r="X9" s="210">
        <f>96147.98+12668.23+71662.9+29921.27+730332.37+129864.33+971260.69</f>
        <v>2041857.77</v>
      </c>
      <c r="Y9" s="217">
        <v>5102920.66</v>
      </c>
      <c r="Z9" s="210">
        <f>3437911.27+952230.31+1385847.73+547157.27+1020183.11+9949.56+1633996.91+955884.15+1978547.39+430553.99+1093922.41+61208.99+547150.87+3269517.66+440724.37</f>
        <v>17764785.990000002</v>
      </c>
      <c r="AA9" s="230">
        <v>5866906.1200000001</v>
      </c>
      <c r="AB9" s="125">
        <f t="shared" si="0"/>
        <v>19384342.976999994</v>
      </c>
      <c r="AC9" s="135">
        <v>19451654.41</v>
      </c>
      <c r="AD9" s="141">
        <f t="shared" si="1"/>
        <v>-67311.433000005782</v>
      </c>
      <c r="AE9" s="143"/>
    </row>
    <row r="10" spans="1:31" x14ac:dyDescent="0.55000000000000004">
      <c r="A10" s="190" t="s">
        <v>25</v>
      </c>
      <c r="B10" s="97">
        <v>7818776.7599999998</v>
      </c>
      <c r="C10" s="101">
        <v>0</v>
      </c>
      <c r="D10" s="218"/>
      <c r="E10" s="218">
        <v>4216434.05</v>
      </c>
      <c r="F10" s="218"/>
      <c r="G10" s="218">
        <v>4510824.58</v>
      </c>
      <c r="H10" s="192"/>
      <c r="I10" s="218">
        <v>3901658</v>
      </c>
      <c r="J10" s="218"/>
      <c r="K10" s="209">
        <v>4764679.5</v>
      </c>
      <c r="L10" s="192"/>
      <c r="M10" s="218">
        <v>4323726.1100000003</v>
      </c>
      <c r="N10" s="218"/>
      <c r="O10" s="192">
        <v>4539374.07</v>
      </c>
      <c r="P10" s="192">
        <f>21102593.1+673147.12+8837195.05</f>
        <v>30612935.270000003</v>
      </c>
      <c r="Q10" s="192">
        <v>4535459.2</v>
      </c>
      <c r="R10" s="192"/>
      <c r="S10" s="202">
        <v>4723698.99</v>
      </c>
      <c r="T10" s="192">
        <f>4539374.07+4535459.2+86515.25</f>
        <v>9161348.5199999996</v>
      </c>
      <c r="U10" s="210">
        <v>4240514.37</v>
      </c>
      <c r="V10" s="210"/>
      <c r="W10" s="210">
        <v>5244566.1900000004</v>
      </c>
      <c r="X10" s="224">
        <v>8964213.3599999994</v>
      </c>
      <c r="Y10" s="217">
        <v>8379627.9199999999</v>
      </c>
      <c r="Z10" s="210"/>
      <c r="AA10" s="230">
        <v>19259599.420000002</v>
      </c>
      <c r="AB10" s="125">
        <f t="shared" si="0"/>
        <v>31720442.010000002</v>
      </c>
      <c r="AC10" s="135">
        <v>31720442.010000002</v>
      </c>
      <c r="AD10" s="141">
        <f t="shared" si="1"/>
        <v>0</v>
      </c>
    </row>
    <row r="11" spans="1:31" x14ac:dyDescent="0.55000000000000004">
      <c r="A11" s="190" t="s">
        <v>26</v>
      </c>
      <c r="B11" s="97">
        <v>17993799.100000001</v>
      </c>
      <c r="C11" s="97"/>
      <c r="D11" s="218">
        <v>8763770.7100000009</v>
      </c>
      <c r="E11" s="218">
        <v>4482958.91</v>
      </c>
      <c r="F11" s="218">
        <f>4939561.69+4900209.94</f>
        <v>9839771.6300000008</v>
      </c>
      <c r="G11" s="218">
        <v>4345855.01</v>
      </c>
      <c r="H11" s="192">
        <v>4482958.91</v>
      </c>
      <c r="I11" s="218">
        <v>4381064.49</v>
      </c>
      <c r="J11" s="218">
        <v>3736111.77</v>
      </c>
      <c r="K11" s="209">
        <v>3974973.05</v>
      </c>
      <c r="L11" s="192">
        <v>4381064.49</v>
      </c>
      <c r="M11" s="218">
        <v>4152844.51</v>
      </c>
      <c r="N11" s="218"/>
      <c r="O11" s="192">
        <v>4365184.79</v>
      </c>
      <c r="P11" s="192">
        <v>8127817.5599999996</v>
      </c>
      <c r="Q11" s="192">
        <v>4605244.92</v>
      </c>
      <c r="R11" s="192"/>
      <c r="S11" s="202">
        <v>4404877.38</v>
      </c>
      <c r="T11" s="192">
        <v>8970429.7100000009</v>
      </c>
      <c r="U11" s="210">
        <v>3600056.3199999998</v>
      </c>
      <c r="V11" s="210"/>
      <c r="W11" s="210">
        <v>3478126.59</v>
      </c>
      <c r="X11" s="210"/>
      <c r="Y11" s="217">
        <v>3785086.99</v>
      </c>
      <c r="Z11" s="210"/>
      <c r="AA11" s="230">
        <v>4620218.22</v>
      </c>
      <c r="AB11" s="125">
        <f t="shared" si="0"/>
        <v>19888365.5</v>
      </c>
      <c r="AC11" s="152">
        <v>19888365.5</v>
      </c>
      <c r="AD11" s="141">
        <f t="shared" si="1"/>
        <v>0</v>
      </c>
    </row>
    <row r="12" spans="1:31" x14ac:dyDescent="0.55000000000000004">
      <c r="A12" s="190" t="s">
        <v>27</v>
      </c>
      <c r="B12" s="97">
        <v>3516193.84</v>
      </c>
      <c r="D12" s="218">
        <v>4323699.9800000004</v>
      </c>
      <c r="E12" s="218">
        <v>4477247.47</v>
      </c>
      <c r="F12" s="218">
        <v>4477247.47</v>
      </c>
      <c r="G12" s="218">
        <v>4256204.34</v>
      </c>
      <c r="H12" s="192">
        <v>4256204.24</v>
      </c>
      <c r="I12" s="218">
        <v>4515379.0999999996</v>
      </c>
      <c r="J12" s="218">
        <v>4515379.0999999996</v>
      </c>
      <c r="K12" s="209">
        <v>4425429.18</v>
      </c>
      <c r="L12" s="192">
        <v>4425429.18</v>
      </c>
      <c r="M12" s="218">
        <v>4167577.17</v>
      </c>
      <c r="N12" s="218">
        <v>4167577.17</v>
      </c>
      <c r="O12" s="192">
        <v>4264805.84</v>
      </c>
      <c r="P12" s="192">
        <v>4264805.84</v>
      </c>
      <c r="Q12" s="192">
        <v>4492024.17</v>
      </c>
      <c r="R12" s="192">
        <v>4492024.17</v>
      </c>
      <c r="S12" s="202">
        <v>4467612.46</v>
      </c>
      <c r="T12" s="192">
        <v>4467612.46</v>
      </c>
      <c r="U12" s="210">
        <v>4116260.07</v>
      </c>
      <c r="V12" s="210">
        <v>4116260.07</v>
      </c>
      <c r="W12" s="210">
        <v>3933032.23</v>
      </c>
      <c r="X12" s="210">
        <f>3510823.49+59055.65+78937.17+90417.95+34739.85+67587.74+91470.38</f>
        <v>3933032.2300000004</v>
      </c>
      <c r="Y12" s="217">
        <v>3842129.1</v>
      </c>
      <c r="Z12" s="210">
        <v>3842129.1</v>
      </c>
      <c r="AA12" s="230">
        <v>3401909.61</v>
      </c>
      <c r="AB12" s="125">
        <f t="shared" si="0"/>
        <v>2594403.5699999984</v>
      </c>
      <c r="AC12" s="135">
        <v>2594403.5699999998</v>
      </c>
      <c r="AD12" s="141">
        <f t="shared" si="1"/>
        <v>0</v>
      </c>
    </row>
    <row r="13" spans="1:31" x14ac:dyDescent="0.55000000000000004">
      <c r="A13" s="190" t="s">
        <v>28</v>
      </c>
      <c r="B13" s="97"/>
      <c r="C13" s="101"/>
      <c r="D13" s="218"/>
      <c r="E13" s="218">
        <v>380859.2</v>
      </c>
      <c r="F13" s="218"/>
      <c r="G13" s="218">
        <v>208229.18</v>
      </c>
      <c r="H13" s="192">
        <v>316318.92</v>
      </c>
      <c r="I13" s="218">
        <v>255636.8</v>
      </c>
      <c r="J13" s="218"/>
      <c r="K13" s="209">
        <v>210577.26</v>
      </c>
      <c r="L13" s="192">
        <f>225476.86+207143.96</f>
        <v>432620.81999999995</v>
      </c>
      <c r="M13" s="218">
        <v>215437.4</v>
      </c>
      <c r="N13" s="218"/>
      <c r="O13" s="192">
        <v>221864.74</v>
      </c>
      <c r="P13" s="192">
        <v>425222.3</v>
      </c>
      <c r="Q13" s="192">
        <v>249393.11</v>
      </c>
      <c r="R13" s="192"/>
      <c r="S13" s="202">
        <v>246549.95</v>
      </c>
      <c r="T13" s="192"/>
      <c r="U13" s="210">
        <v>195229.82</v>
      </c>
      <c r="V13" s="210"/>
      <c r="W13" s="210">
        <v>213671.18</v>
      </c>
      <c r="X13" s="210">
        <v>443830.53</v>
      </c>
      <c r="Y13" s="217">
        <v>252291.11</v>
      </c>
      <c r="Z13" s="210">
        <f>458806.48+251933.27</f>
        <v>710739.75</v>
      </c>
      <c r="AA13" s="230">
        <v>351132.98</v>
      </c>
      <c r="AB13" s="125">
        <f t="shared" si="0"/>
        <v>672140.41</v>
      </c>
      <c r="AC13" s="135">
        <v>672140.41</v>
      </c>
      <c r="AD13" s="141">
        <f t="shared" si="1"/>
        <v>0</v>
      </c>
    </row>
    <row r="14" spans="1:31" x14ac:dyDescent="0.55000000000000004">
      <c r="A14" s="190" t="s">
        <v>30</v>
      </c>
      <c r="B14" s="97">
        <v>1922440.05</v>
      </c>
      <c r="C14" s="97"/>
      <c r="D14" s="218">
        <f>414609.37</f>
        <v>414609.37</v>
      </c>
      <c r="E14" s="218">
        <v>2061563.57</v>
      </c>
      <c r="F14" s="218">
        <f>2122577.65+202044.23+108055.5</f>
        <v>2432677.38</v>
      </c>
      <c r="G14" s="218">
        <v>1612537.26</v>
      </c>
      <c r="H14" s="192">
        <f>1858516.39+173886.67+1608965.07</f>
        <v>3641368.13</v>
      </c>
      <c r="I14" s="218">
        <v>1525099.38</v>
      </c>
      <c r="J14" s="218"/>
      <c r="K14" s="209">
        <v>1599868.98</v>
      </c>
      <c r="L14" s="192">
        <f>1590678.45+1511973.91</f>
        <v>3102652.36</v>
      </c>
      <c r="M14" s="218">
        <v>1550539.21</v>
      </c>
      <c r="N14" s="218">
        <v>1518972.31</v>
      </c>
      <c r="O14" s="192">
        <v>2371189.2200000002</v>
      </c>
      <c r="P14" s="192">
        <f>7970.63+2216521.27+24614.87</f>
        <v>2249106.77</v>
      </c>
      <c r="Q14" s="192">
        <v>2103825.0699999998</v>
      </c>
      <c r="R14" s="192">
        <v>2092421.64</v>
      </c>
      <c r="S14" s="202">
        <v>1376265.13</v>
      </c>
      <c r="T14" s="192">
        <f>3966.29+5253.59</f>
        <v>9219.880000000001</v>
      </c>
      <c r="U14" s="210">
        <v>1531833.64</v>
      </c>
      <c r="V14" s="210">
        <f>1363814.3+1524396.5</f>
        <v>2888210.8</v>
      </c>
      <c r="W14" s="210">
        <v>1682948.02</v>
      </c>
      <c r="X14" s="210">
        <f>1675510.88</f>
        <v>1675510.88</v>
      </c>
      <c r="Y14" s="217">
        <v>1597824.81</v>
      </c>
      <c r="Z14" s="210"/>
      <c r="AA14" s="230">
        <v>2388980.7000000002</v>
      </c>
      <c r="AB14" s="125">
        <f t="shared" si="0"/>
        <v>3300165.5200000005</v>
      </c>
      <c r="AC14" s="135">
        <v>3822830.89</v>
      </c>
      <c r="AD14" s="141">
        <f t="shared" si="1"/>
        <v>-522665.36999999965</v>
      </c>
    </row>
    <row r="15" spans="1:31" x14ac:dyDescent="0.55000000000000004">
      <c r="A15" s="190" t="s">
        <v>31</v>
      </c>
      <c r="B15" s="97">
        <v>3215378.17</v>
      </c>
      <c r="C15" s="101"/>
      <c r="D15" s="218"/>
      <c r="E15" s="218">
        <v>1710849.18</v>
      </c>
      <c r="F15" s="218">
        <v>0</v>
      </c>
      <c r="G15" s="218">
        <v>1925086.07</v>
      </c>
      <c r="H15" s="192">
        <f>1430970.59+91259.17</f>
        <v>1522229.76</v>
      </c>
      <c r="I15" s="218">
        <v>2018952.78</v>
      </c>
      <c r="J15" s="218">
        <f>1195717.73+1720642.46+1463048.55</f>
        <v>4379408.74</v>
      </c>
      <c r="K15" s="209">
        <v>2358141.5099999998</v>
      </c>
      <c r="L15" s="192">
        <f>2007728.4+1194786.52+1158597.22</f>
        <v>4361112.1399999997</v>
      </c>
      <c r="M15" s="218">
        <v>1915515.81</v>
      </c>
      <c r="N15" s="218"/>
      <c r="O15" s="192">
        <v>1903212.3</v>
      </c>
      <c r="P15" s="192">
        <f>42337.94+1458201.19</f>
        <v>1500539.13</v>
      </c>
      <c r="Q15" s="192">
        <v>2186808.86</v>
      </c>
      <c r="R15" s="192">
        <f>1180362.61+531914.83+376.25</f>
        <v>1712653.69</v>
      </c>
      <c r="S15" s="202">
        <v>2293529.62</v>
      </c>
      <c r="T15" s="192">
        <f>146710.51+1813863.29</f>
        <v>1960573.8</v>
      </c>
      <c r="U15" s="210">
        <v>1906149.05</v>
      </c>
      <c r="V15" s="210">
        <f>841.9+1688569.26+129084.48</f>
        <v>1818495.64</v>
      </c>
      <c r="W15" s="210">
        <v>1863670.37</v>
      </c>
      <c r="X15" s="210">
        <f>1159518.07+97490.05</f>
        <v>1257008.1200000001</v>
      </c>
      <c r="Y15" s="217">
        <v>2066843.13</v>
      </c>
      <c r="Z15" s="210">
        <f>744858.65+146169.21+45127.74+172.4+186859.61+4924.58+207572.76</f>
        <v>1335684.95</v>
      </c>
      <c r="AA15" s="230">
        <v>2618660.62</v>
      </c>
      <c r="AB15" s="125">
        <f t="shared" si="0"/>
        <v>8135091.5</v>
      </c>
      <c r="AC15" s="135">
        <v>8135091.5</v>
      </c>
      <c r="AD15" s="141">
        <f t="shared" si="1"/>
        <v>0</v>
      </c>
    </row>
    <row r="16" spans="1:31" x14ac:dyDescent="0.55000000000000004">
      <c r="A16" s="190" t="s">
        <v>32</v>
      </c>
      <c r="B16" s="97">
        <v>2710693.71</v>
      </c>
      <c r="C16" s="110"/>
      <c r="D16" s="218">
        <v>208180.66</v>
      </c>
      <c r="E16" s="218">
        <v>415678.31</v>
      </c>
      <c r="F16" s="218"/>
      <c r="G16" s="218">
        <v>262790.28999999998</v>
      </c>
      <c r="H16" s="192">
        <v>236383.15</v>
      </c>
      <c r="I16" s="218">
        <v>409697.15</v>
      </c>
      <c r="J16" s="218">
        <v>262790.28999999998</v>
      </c>
      <c r="K16" s="209">
        <v>354551.64</v>
      </c>
      <c r="L16" s="192">
        <v>251315.88</v>
      </c>
      <c r="M16" s="218">
        <v>233781.56</v>
      </c>
      <c r="N16" s="218">
        <f>663266.02</f>
        <v>663266.02</v>
      </c>
      <c r="O16" s="192">
        <v>235602.27</v>
      </c>
      <c r="P16" s="192">
        <v>587989.4</v>
      </c>
      <c r="Q16" s="192">
        <v>299567.27</v>
      </c>
      <c r="R16" s="192">
        <f>235602.27</f>
        <v>235602.27</v>
      </c>
      <c r="S16" s="202">
        <v>262680.40999999997</v>
      </c>
      <c r="T16" s="192">
        <v>299567.27</v>
      </c>
      <c r="U16" s="210">
        <v>255779.77</v>
      </c>
      <c r="V16" s="210"/>
      <c r="W16" s="210">
        <v>225639.96</v>
      </c>
      <c r="X16" s="210"/>
      <c r="Y16" s="217">
        <v>238384.73</v>
      </c>
      <c r="Z16" s="210">
        <v>1287427.18</v>
      </c>
      <c r="AA16" s="230">
        <v>250324.32</v>
      </c>
      <c r="AB16" s="125">
        <f t="shared" si="0"/>
        <v>2122649.2700000005</v>
      </c>
      <c r="AC16" s="135">
        <v>2122649.27</v>
      </c>
      <c r="AD16" s="141">
        <f t="shared" si="1"/>
        <v>0</v>
      </c>
    </row>
    <row r="17" spans="1:32" x14ac:dyDescent="0.55000000000000004">
      <c r="A17" s="190" t="s">
        <v>33</v>
      </c>
      <c r="B17" s="123">
        <v>203626.71</v>
      </c>
      <c r="C17" s="102"/>
      <c r="D17" s="218"/>
      <c r="E17" s="218">
        <v>0</v>
      </c>
      <c r="F17" s="218"/>
      <c r="G17" s="218">
        <v>12589.48</v>
      </c>
      <c r="H17" s="192"/>
      <c r="I17" s="218">
        <v>0</v>
      </c>
      <c r="J17" s="218"/>
      <c r="K17" s="209"/>
      <c r="L17" s="192"/>
      <c r="M17" s="218">
        <v>0</v>
      </c>
      <c r="N17" s="218"/>
      <c r="O17" s="192">
        <v>0</v>
      </c>
      <c r="P17" s="192"/>
      <c r="Q17" s="192"/>
      <c r="R17" s="192"/>
      <c r="S17" s="192"/>
      <c r="T17" s="192"/>
      <c r="U17" s="192"/>
      <c r="V17" s="192"/>
      <c r="W17" s="192">
        <v>0</v>
      </c>
      <c r="X17" s="192"/>
      <c r="Y17" s="218">
        <v>0</v>
      </c>
      <c r="Z17" s="192"/>
      <c r="AA17" s="112">
        <v>0</v>
      </c>
      <c r="AB17" s="125">
        <f t="shared" si="0"/>
        <v>216216.19</v>
      </c>
      <c r="AC17" s="135">
        <f>AB17+AA17+Z17+Y17+X17+W17+V17</f>
        <v>216216.19</v>
      </c>
      <c r="AD17" s="141">
        <f t="shared" si="1"/>
        <v>0</v>
      </c>
      <c r="AF17" s="701"/>
    </row>
    <row r="18" spans="1:32" x14ac:dyDescent="0.55000000000000004">
      <c r="A18" s="190" t="s">
        <v>34</v>
      </c>
      <c r="B18" s="97">
        <v>12345715.73</v>
      </c>
      <c r="C18" s="110"/>
      <c r="D18" s="218">
        <f>865690.06+6040995.68</f>
        <v>6906685.7400000002</v>
      </c>
      <c r="E18" s="218">
        <v>948553.03</v>
      </c>
      <c r="F18" s="218">
        <v>1623221.43</v>
      </c>
      <c r="G18" s="218">
        <v>889067.1</v>
      </c>
      <c r="H18" s="192">
        <f>1727721.31+2102195.44+2813899</f>
        <v>6643815.75</v>
      </c>
      <c r="I18" s="218">
        <v>903210.83</v>
      </c>
      <c r="J18" s="218"/>
      <c r="K18" s="209">
        <v>951221.71</v>
      </c>
      <c r="L18" s="192">
        <f>903210.87+951221.71</f>
        <v>1854432.58</v>
      </c>
      <c r="M18" s="218">
        <v>1831941.98</v>
      </c>
      <c r="N18" s="218">
        <v>645</v>
      </c>
      <c r="O18" s="192">
        <v>2144788.3199999998</v>
      </c>
      <c r="P18" s="192">
        <v>1831941.98</v>
      </c>
      <c r="Q18" s="192">
        <v>2515174.77</v>
      </c>
      <c r="R18" s="192">
        <v>4656654.03</v>
      </c>
      <c r="S18" s="202">
        <v>2670803.06</v>
      </c>
      <c r="T18" s="192">
        <v>2668178.75</v>
      </c>
      <c r="U18" s="224">
        <v>2315471.37</v>
      </c>
      <c r="V18" s="210"/>
      <c r="W18" s="210">
        <v>2266272.66</v>
      </c>
      <c r="X18" s="210">
        <f>2315471.37+2266272.66</f>
        <v>4581744.03</v>
      </c>
      <c r="Y18" s="217">
        <v>2641125.67</v>
      </c>
      <c r="Z18" s="210">
        <f>7300744.01+2061074.65+577804.92</f>
        <v>9939623.5800000001</v>
      </c>
      <c r="AA18" s="230">
        <v>2831728.36</v>
      </c>
      <c r="AB18" s="125">
        <f t="shared" si="0"/>
        <v>-5451868.2800000012</v>
      </c>
      <c r="AC18" s="135">
        <v>-5451868.2800000003</v>
      </c>
      <c r="AD18" s="141">
        <f t="shared" si="1"/>
        <v>0</v>
      </c>
      <c r="AF18" s="701"/>
    </row>
    <row r="19" spans="1:32" s="8" customFormat="1" x14ac:dyDescent="0.55000000000000004">
      <c r="A19" s="190" t="s">
        <v>35</v>
      </c>
      <c r="B19" s="97">
        <v>10209523.82</v>
      </c>
      <c r="C19" s="110"/>
      <c r="D19" s="218"/>
      <c r="E19" s="218">
        <v>752439.57</v>
      </c>
      <c r="F19" s="218">
        <f>5804577.4+1744565.77</f>
        <v>7549143.1699999999</v>
      </c>
      <c r="G19" s="218">
        <v>688617.93</v>
      </c>
      <c r="H19" s="192"/>
      <c r="I19" s="218">
        <v>895886.2</v>
      </c>
      <c r="J19" s="218">
        <v>9268.4</v>
      </c>
      <c r="K19" s="209">
        <v>843541.16</v>
      </c>
      <c r="L19" s="192">
        <v>99638.22</v>
      </c>
      <c r="M19" s="218">
        <v>831763.15</v>
      </c>
      <c r="N19" s="218"/>
      <c r="O19" s="192">
        <v>663742.18000000005</v>
      </c>
      <c r="P19" s="192"/>
      <c r="Q19" s="192">
        <v>838788.5</v>
      </c>
      <c r="R19" s="192">
        <v>16683.13</v>
      </c>
      <c r="S19" s="202">
        <v>699197.15</v>
      </c>
      <c r="T19" s="192"/>
      <c r="U19" s="210">
        <v>699629.94</v>
      </c>
      <c r="V19" s="210"/>
      <c r="W19" s="210">
        <v>860562.25</v>
      </c>
      <c r="X19" s="210"/>
      <c r="Y19" s="217">
        <v>1759453.6</v>
      </c>
      <c r="Z19" s="210">
        <v>674005.89</v>
      </c>
      <c r="AA19" s="230">
        <v>916270.55</v>
      </c>
      <c r="AB19" s="125">
        <f t="shared" si="0"/>
        <v>12310677.189999999</v>
      </c>
      <c r="AC19" s="135">
        <v>12310677.189999999</v>
      </c>
      <c r="AD19" s="141">
        <f t="shared" si="1"/>
        <v>0</v>
      </c>
      <c r="AE19" s="136"/>
      <c r="AF19" s="171"/>
    </row>
    <row r="20" spans="1:32" s="8" customFormat="1" x14ac:dyDescent="0.55000000000000004">
      <c r="A20" s="190" t="s">
        <v>36</v>
      </c>
      <c r="B20" s="97">
        <v>4015031.98</v>
      </c>
      <c r="C20" s="110"/>
      <c r="D20" s="218">
        <f>497804.75+825332.7</f>
        <v>1323137.45</v>
      </c>
      <c r="E20" s="218">
        <v>446548.51</v>
      </c>
      <c r="F20" s="218">
        <f>339434.24+966919.33</f>
        <v>1306353.5699999998</v>
      </c>
      <c r="G20" s="218">
        <v>536979.54</v>
      </c>
      <c r="H20" s="192">
        <v>711358.57</v>
      </c>
      <c r="I20" s="218">
        <v>538711.28</v>
      </c>
      <c r="J20" s="218">
        <v>536979.54</v>
      </c>
      <c r="K20" s="209">
        <v>647666.32999999996</v>
      </c>
      <c r="L20" s="192">
        <f>538711.28</f>
        <v>538711.28</v>
      </c>
      <c r="M20" s="218">
        <v>733010.85</v>
      </c>
      <c r="N20" s="218">
        <v>647666.32999999996</v>
      </c>
      <c r="O20" s="192">
        <v>722160.54</v>
      </c>
      <c r="P20" s="192">
        <v>905113.33</v>
      </c>
      <c r="Q20" s="192">
        <v>750903.92</v>
      </c>
      <c r="R20" s="192">
        <v>733010.85</v>
      </c>
      <c r="S20" s="202">
        <v>785906.3</v>
      </c>
      <c r="T20" s="192">
        <v>750903.92</v>
      </c>
      <c r="U20" s="210">
        <v>796869.38</v>
      </c>
      <c r="V20" s="210">
        <v>785906.3</v>
      </c>
      <c r="W20" s="210">
        <v>795952.73</v>
      </c>
      <c r="X20" s="210">
        <v>796869.38</v>
      </c>
      <c r="Y20" s="217">
        <v>729154.95</v>
      </c>
      <c r="Z20" s="210">
        <f>722160.54+795952.73+729154.95</f>
        <v>2247268.2199999997</v>
      </c>
      <c r="AA20" s="230">
        <v>771531.84</v>
      </c>
      <c r="AB20" s="125">
        <f t="shared" si="0"/>
        <v>987149.41000000027</v>
      </c>
      <c r="AC20" s="135">
        <v>987149.41</v>
      </c>
      <c r="AD20" s="141">
        <f t="shared" si="1"/>
        <v>0</v>
      </c>
      <c r="AE20" s="136"/>
      <c r="AF20" s="171"/>
    </row>
    <row r="21" spans="1:32" s="8" customFormat="1" x14ac:dyDescent="0.55000000000000004">
      <c r="A21" s="190" t="s">
        <v>37</v>
      </c>
      <c r="B21" s="97">
        <v>1110223.17</v>
      </c>
      <c r="C21" s="185"/>
      <c r="D21" s="218">
        <v>332639.21999999997</v>
      </c>
      <c r="E21" s="218">
        <v>358947.48</v>
      </c>
      <c r="F21" s="218"/>
      <c r="G21" s="218">
        <v>377859.76</v>
      </c>
      <c r="H21" s="192"/>
      <c r="I21" s="218">
        <v>422579.78</v>
      </c>
      <c r="J21" s="218">
        <f>358947.48+367621.97</f>
        <v>726569.45</v>
      </c>
      <c r="K21" s="209">
        <v>532681.82999999996</v>
      </c>
      <c r="L21" s="192"/>
      <c r="M21" s="218">
        <v>440681.25</v>
      </c>
      <c r="N21" s="218">
        <f>422579.78+377859.76</f>
        <v>800439.54</v>
      </c>
      <c r="O21" s="192">
        <v>520168.48</v>
      </c>
      <c r="P21" s="192">
        <v>532681.82999999996</v>
      </c>
      <c r="Q21" s="218">
        <v>617459.23</v>
      </c>
      <c r="R21" s="192"/>
      <c r="S21" s="202">
        <v>517247.01</v>
      </c>
      <c r="T21" s="192">
        <v>440681.2</v>
      </c>
      <c r="U21" s="210">
        <v>452017.71</v>
      </c>
      <c r="V21" s="210"/>
      <c r="W21" s="210">
        <v>434900.72</v>
      </c>
      <c r="X21" s="210">
        <f>1037415.49+617459.23</f>
        <v>1654874.72</v>
      </c>
      <c r="Y21" s="217">
        <v>474598.64</v>
      </c>
      <c r="Z21" s="210">
        <v>886918.43</v>
      </c>
      <c r="AA21" s="230">
        <v>551930.48</v>
      </c>
      <c r="AB21" s="125">
        <f t="shared" si="0"/>
        <v>1436491.1500000004</v>
      </c>
      <c r="AC21" s="135">
        <v>1436491.1</v>
      </c>
      <c r="AD21" s="141">
        <f t="shared" si="1"/>
        <v>5.0000000279396772E-2</v>
      </c>
      <c r="AE21" s="136"/>
      <c r="AF21" s="171"/>
    </row>
    <row r="22" spans="1:32" s="8" customFormat="1" x14ac:dyDescent="0.55000000000000004">
      <c r="A22" s="190" t="s">
        <v>38</v>
      </c>
      <c r="B22" s="97">
        <v>2914587.73</v>
      </c>
      <c r="C22" s="101"/>
      <c r="D22" s="218"/>
      <c r="E22" s="218">
        <v>1058402.82</v>
      </c>
      <c r="F22" s="218"/>
      <c r="G22" s="218">
        <v>980237.85</v>
      </c>
      <c r="H22" s="192"/>
      <c r="I22" s="218">
        <v>1666585.71</v>
      </c>
      <c r="J22" s="218">
        <v>2897951.16</v>
      </c>
      <c r="K22" s="209">
        <v>1120975.82</v>
      </c>
      <c r="L22" s="192"/>
      <c r="M22" s="218">
        <v>963300.05</v>
      </c>
      <c r="N22" s="218">
        <v>1120975.82</v>
      </c>
      <c r="O22" s="192">
        <v>888644.87</v>
      </c>
      <c r="P22" s="218">
        <f>980237.85</f>
        <v>980237.85</v>
      </c>
      <c r="Q22" s="192">
        <v>1232472.01</v>
      </c>
      <c r="R22" s="192">
        <v>1666585.71</v>
      </c>
      <c r="S22" s="202">
        <v>1222533.6000000001</v>
      </c>
      <c r="T22" s="192">
        <f>1058425.94+546049.43</f>
        <v>1604475.37</v>
      </c>
      <c r="U22" s="210">
        <v>943992.94</v>
      </c>
      <c r="V22" s="210"/>
      <c r="W22" s="210">
        <v>1805086.02</v>
      </c>
      <c r="X22" s="210"/>
      <c r="Y22" s="217">
        <v>1002668.53</v>
      </c>
      <c r="Z22" s="210"/>
      <c r="AA22" s="230">
        <v>1187677.3</v>
      </c>
      <c r="AB22" s="125">
        <f t="shared" si="0"/>
        <v>8716939.3399999999</v>
      </c>
      <c r="AC22" s="135">
        <v>8716939.3399999999</v>
      </c>
      <c r="AD22" s="141">
        <f t="shared" si="1"/>
        <v>0</v>
      </c>
      <c r="AE22" s="136"/>
      <c r="AF22" s="171"/>
    </row>
    <row r="23" spans="1:32" s="8" customFormat="1" x14ac:dyDescent="0.55000000000000004">
      <c r="A23" s="190" t="s">
        <v>39</v>
      </c>
      <c r="B23" s="97">
        <v>276586.51</v>
      </c>
      <c r="C23" s="101"/>
      <c r="D23" s="218"/>
      <c r="E23" s="218">
        <v>62747.46</v>
      </c>
      <c r="F23" s="218">
        <f>25326.91+65643.42+28027.15</f>
        <v>118997.48000000001</v>
      </c>
      <c r="G23" s="218">
        <v>28560.9</v>
      </c>
      <c r="H23" s="192"/>
      <c r="I23" s="218">
        <v>341913.65</v>
      </c>
      <c r="J23" s="218"/>
      <c r="K23" s="209">
        <v>462315.26</v>
      </c>
      <c r="L23" s="192"/>
      <c r="M23" s="218">
        <v>397961.18</v>
      </c>
      <c r="N23" s="218"/>
      <c r="O23" s="192">
        <v>440915.89</v>
      </c>
      <c r="P23" s="192"/>
      <c r="Q23" s="192">
        <v>446775.19</v>
      </c>
      <c r="R23" s="192"/>
      <c r="S23" s="202">
        <v>459522.1</v>
      </c>
      <c r="T23" s="192">
        <f>6938.44+77457.7+203957.44+29263.82+40566.64+2591.12</f>
        <v>360775.16000000003</v>
      </c>
      <c r="U23" s="210">
        <v>425678.28</v>
      </c>
      <c r="V23" s="210">
        <f>119152.76+12687.25+28902.92</f>
        <v>160742.93</v>
      </c>
      <c r="W23" s="210">
        <v>450887.1</v>
      </c>
      <c r="X23" s="210">
        <f>30282.55+8508.7+7881.92</f>
        <v>46673.17</v>
      </c>
      <c r="Y23" s="217">
        <v>439833.4</v>
      </c>
      <c r="Z23" s="210">
        <f>382599.49+175059.8+83055.84+54075.99+55800.73+180080.33+234200.95+95092.1+51374.75+332700.4+10433.01+38204.88+20933.75+17385+173851</f>
        <v>1904848.0199999998</v>
      </c>
      <c r="AA23" s="230">
        <v>527265.71</v>
      </c>
      <c r="AB23" s="125">
        <f t="shared" si="0"/>
        <v>2168925.87</v>
      </c>
      <c r="AC23" s="159">
        <v>2168803.91</v>
      </c>
      <c r="AD23" s="141">
        <f t="shared" si="1"/>
        <v>121.95999999996275</v>
      </c>
      <c r="AE23" s="136"/>
      <c r="AF23" s="171"/>
    </row>
    <row r="24" spans="1:32" s="8" customFormat="1" x14ac:dyDescent="0.55000000000000004">
      <c r="A24" s="190" t="s">
        <v>41</v>
      </c>
      <c r="B24" s="103">
        <v>787404.88</v>
      </c>
      <c r="C24" s="101"/>
      <c r="D24" s="218"/>
      <c r="E24" s="218">
        <v>997305.41</v>
      </c>
      <c r="F24" s="218"/>
      <c r="G24" s="218">
        <v>1134395.47</v>
      </c>
      <c r="H24" s="192">
        <f>738.95+1958819.3</f>
        <v>1959558.25</v>
      </c>
      <c r="I24" s="218">
        <v>1171813.56</v>
      </c>
      <c r="J24" s="218">
        <f>1636641.17+492984.06</f>
        <v>2129625.23</v>
      </c>
      <c r="K24" s="209">
        <v>1287862.1299999999</v>
      </c>
      <c r="L24" s="192">
        <v>1186067.73</v>
      </c>
      <c r="M24" s="218">
        <v>1280333.49</v>
      </c>
      <c r="N24" s="218"/>
      <c r="O24" s="192">
        <v>1337776.1299999999</v>
      </c>
      <c r="P24" s="192">
        <f>1109720.84</f>
        <v>1109720.8400000001</v>
      </c>
      <c r="Q24" s="192">
        <v>1701930.38</v>
      </c>
      <c r="R24" s="192">
        <v>734321.92</v>
      </c>
      <c r="S24" s="202">
        <v>1698027.55</v>
      </c>
      <c r="T24" s="192"/>
      <c r="U24" s="210">
        <v>1728928.21</v>
      </c>
      <c r="V24" s="210"/>
      <c r="W24" s="210">
        <v>1613633.68</v>
      </c>
      <c r="X24" s="210">
        <v>5051626.84</v>
      </c>
      <c r="Y24" s="217">
        <v>1851739.8</v>
      </c>
      <c r="Z24" s="210">
        <f>1422173.17+644357.97+1234344.66</f>
        <v>3300875.8</v>
      </c>
      <c r="AA24" s="230">
        <v>2016895.58</v>
      </c>
      <c r="AB24" s="125">
        <f t="shared" si="0"/>
        <v>3136249.6599999992</v>
      </c>
      <c r="AC24" s="135">
        <v>3136249.66</v>
      </c>
      <c r="AD24" s="141">
        <v>0</v>
      </c>
      <c r="AE24" s="136"/>
      <c r="AF24" s="171"/>
    </row>
    <row r="25" spans="1:32" s="8" customFormat="1" x14ac:dyDescent="0.55000000000000004">
      <c r="A25" s="190" t="s">
        <v>42</v>
      </c>
      <c r="B25" s="97">
        <v>820262.93</v>
      </c>
      <c r="C25" s="101"/>
      <c r="D25" s="218"/>
      <c r="E25" s="218">
        <v>337072.14</v>
      </c>
      <c r="F25" s="218">
        <v>814858.55</v>
      </c>
      <c r="G25" s="218">
        <v>384501.34</v>
      </c>
      <c r="H25" s="192">
        <f>337072.14</f>
        <v>337072.14</v>
      </c>
      <c r="I25" s="218">
        <v>407893.04</v>
      </c>
      <c r="J25" s="218"/>
      <c r="K25" s="209">
        <v>350321.72</v>
      </c>
      <c r="L25" s="192">
        <v>792394.38</v>
      </c>
      <c r="M25" s="218">
        <v>349445.85</v>
      </c>
      <c r="N25" s="218">
        <v>350321.72</v>
      </c>
      <c r="O25" s="192">
        <v>338217.89</v>
      </c>
      <c r="P25" s="192">
        <v>349445.85</v>
      </c>
      <c r="Q25" s="192">
        <v>349135.04</v>
      </c>
      <c r="R25" s="192">
        <f>338217.89</f>
        <v>338217.89</v>
      </c>
      <c r="S25" s="202">
        <v>341089.42</v>
      </c>
      <c r="T25" s="192">
        <v>349135.04</v>
      </c>
      <c r="U25" s="210">
        <v>316954.33</v>
      </c>
      <c r="V25" s="210"/>
      <c r="W25" s="210">
        <v>322347.3</v>
      </c>
      <c r="X25" s="210">
        <f>341089.42+316954.33+322347.3</f>
        <v>980391.05</v>
      </c>
      <c r="Y25" s="217">
        <v>349836.68</v>
      </c>
      <c r="Z25" s="210">
        <v>349836.68</v>
      </c>
      <c r="AA25" s="230">
        <v>376150.56</v>
      </c>
      <c r="AB25" s="125">
        <f t="shared" si="0"/>
        <v>381554.94000000012</v>
      </c>
      <c r="AC25" s="135">
        <v>381554.94</v>
      </c>
      <c r="AD25" s="141">
        <f t="shared" si="1"/>
        <v>0</v>
      </c>
      <c r="AE25" s="136"/>
      <c r="AF25" s="171"/>
    </row>
    <row r="26" spans="1:32" s="8" customFormat="1" x14ac:dyDescent="0.55000000000000004">
      <c r="A26" s="190" t="s">
        <v>43</v>
      </c>
      <c r="B26" s="97">
        <v>3074207.87</v>
      </c>
      <c r="C26" s="101"/>
      <c r="D26" s="218"/>
      <c r="E26" s="218">
        <v>203891.6</v>
      </c>
      <c r="F26" s="218"/>
      <c r="G26" s="218">
        <v>106978.19</v>
      </c>
      <c r="H26" s="192"/>
      <c r="I26" s="218">
        <v>114096.43</v>
      </c>
      <c r="J26" s="218"/>
      <c r="K26" s="209">
        <v>124627.32</v>
      </c>
      <c r="L26" s="192"/>
      <c r="M26" s="218">
        <v>123720.27</v>
      </c>
      <c r="N26" s="218"/>
      <c r="O26" s="192">
        <v>112254.87</v>
      </c>
      <c r="P26" s="192"/>
      <c r="Q26" s="192">
        <v>120717.63</v>
      </c>
      <c r="R26" s="192"/>
      <c r="S26" s="202">
        <v>143631.54</v>
      </c>
      <c r="T26" s="192"/>
      <c r="U26" s="210">
        <v>143027.32999999999</v>
      </c>
      <c r="V26" s="210"/>
      <c r="W26" s="210">
        <v>76386.710000000006</v>
      </c>
      <c r="X26" s="210"/>
      <c r="Y26" s="217">
        <v>56838.6</v>
      </c>
      <c r="Z26" s="210"/>
      <c r="AA26" s="230">
        <v>62396.1</v>
      </c>
      <c r="AB26" s="125">
        <f t="shared" si="0"/>
        <v>4462774.459999999</v>
      </c>
      <c r="AC26" s="135">
        <v>4462774.46</v>
      </c>
      <c r="AD26" s="141">
        <f t="shared" si="1"/>
        <v>0</v>
      </c>
      <c r="AE26" s="136"/>
      <c r="AF26" s="171"/>
    </row>
    <row r="27" spans="1:32" s="8" customFormat="1" x14ac:dyDescent="0.55000000000000004">
      <c r="A27" s="279" t="s">
        <v>44</v>
      </c>
      <c r="B27" s="280">
        <v>956791.88</v>
      </c>
      <c r="C27" s="281"/>
      <c r="D27" s="282"/>
      <c r="E27" s="282">
        <v>1094504.6399999999</v>
      </c>
      <c r="F27" s="282">
        <v>1055967.6000000001</v>
      </c>
      <c r="G27" s="282">
        <v>858853.48</v>
      </c>
      <c r="H27" s="282">
        <f>858853.48+1094504.64</f>
        <v>1953358.1199999999</v>
      </c>
      <c r="I27" s="282">
        <v>1027533.84</v>
      </c>
      <c r="J27" s="282">
        <v>1027197.61</v>
      </c>
      <c r="K27" s="283">
        <v>914131.99</v>
      </c>
      <c r="L27" s="282"/>
      <c r="M27" s="282">
        <v>835183.38</v>
      </c>
      <c r="N27" s="282">
        <v>914131.99</v>
      </c>
      <c r="O27" s="282">
        <v>746316.24</v>
      </c>
      <c r="P27" s="282">
        <f>835183.38+746316.24</f>
        <v>1581499.62</v>
      </c>
      <c r="Q27" s="282">
        <v>728040.71</v>
      </c>
      <c r="R27" s="282">
        <v>728040.71</v>
      </c>
      <c r="S27" s="284">
        <v>731890</v>
      </c>
      <c r="T27" s="282">
        <v>731890</v>
      </c>
      <c r="U27" s="285">
        <v>606750.57999999996</v>
      </c>
      <c r="V27" s="285">
        <v>606750.57999999996</v>
      </c>
      <c r="W27" s="285">
        <v>1111996.26</v>
      </c>
      <c r="X27" s="285">
        <v>0</v>
      </c>
      <c r="Y27" s="285">
        <v>1542799.78</v>
      </c>
      <c r="Z27" s="285">
        <v>1542799.78</v>
      </c>
      <c r="AA27" s="286">
        <v>1386502.83</v>
      </c>
      <c r="AB27" s="287">
        <f t="shared" si="0"/>
        <v>2399659.5999999996</v>
      </c>
      <c r="AC27" s="288">
        <v>2399659.5299999998</v>
      </c>
      <c r="AD27" s="141">
        <f t="shared" si="1"/>
        <v>6.9999999832361937E-2</v>
      </c>
      <c r="AE27" s="143" t="e">
        <f>AC27-#REF!</f>
        <v>#REF!</v>
      </c>
      <c r="AF27" s="171"/>
    </row>
    <row r="28" spans="1:32" s="8" customFormat="1" x14ac:dyDescent="0.55000000000000004">
      <c r="A28" s="190" t="s">
        <v>45</v>
      </c>
      <c r="B28" s="97">
        <v>76792.45</v>
      </c>
      <c r="C28" s="101"/>
      <c r="D28" s="218"/>
      <c r="E28" s="218">
        <v>13116.48</v>
      </c>
      <c r="F28" s="218">
        <f>15750.19+22466.77</f>
        <v>38216.959999999999</v>
      </c>
      <c r="G28" s="218">
        <v>14743.52</v>
      </c>
      <c r="H28" s="192">
        <f>22066.35</f>
        <v>22066.35</v>
      </c>
      <c r="I28" s="218">
        <v>5007.8599999999997</v>
      </c>
      <c r="J28" s="218"/>
      <c r="K28" s="209">
        <v>5955.08</v>
      </c>
      <c r="L28" s="192"/>
      <c r="M28" s="218">
        <v>14227.44</v>
      </c>
      <c r="N28" s="218"/>
      <c r="O28" s="192">
        <v>8432.98</v>
      </c>
      <c r="P28" s="192"/>
      <c r="Q28" s="192">
        <v>13012.24</v>
      </c>
      <c r="R28" s="192">
        <v>53050.28</v>
      </c>
      <c r="S28" s="202">
        <v>20615.439999999999</v>
      </c>
      <c r="T28" s="192"/>
      <c r="U28" s="210">
        <v>20437.990000000002</v>
      </c>
      <c r="V28" s="210"/>
      <c r="W28" s="210">
        <v>19914.87</v>
      </c>
      <c r="X28" s="210">
        <f>8432.98+33627.68</f>
        <v>42060.66</v>
      </c>
      <c r="Y28" s="217">
        <v>17232.52</v>
      </c>
      <c r="Z28" s="210">
        <f>40352.86+17232.52</f>
        <v>57585.380000000005</v>
      </c>
      <c r="AA28" s="230">
        <v>17495.28</v>
      </c>
      <c r="AB28" s="125">
        <f t="shared" si="0"/>
        <v>34004.51999999999</v>
      </c>
      <c r="AC28" s="135">
        <v>34004.519999999997</v>
      </c>
      <c r="AD28" s="141">
        <f t="shared" si="1"/>
        <v>0</v>
      </c>
      <c r="AE28" s="136"/>
      <c r="AF28" s="171"/>
    </row>
    <row r="29" spans="1:32" s="8" customFormat="1" x14ac:dyDescent="0.55000000000000004">
      <c r="A29" s="190" t="s">
        <v>46</v>
      </c>
      <c r="B29" s="97">
        <v>225681.03</v>
      </c>
      <c r="C29" s="101"/>
      <c r="D29" s="218">
        <v>160830.16</v>
      </c>
      <c r="E29" s="218">
        <v>249735.53</v>
      </c>
      <c r="F29" s="218">
        <v>249735.54</v>
      </c>
      <c r="G29" s="218">
        <v>164823</v>
      </c>
      <c r="H29" s="192">
        <v>164822.98000000001</v>
      </c>
      <c r="I29" s="218">
        <v>201665.8</v>
      </c>
      <c r="J29" s="218">
        <v>201665.81</v>
      </c>
      <c r="K29" s="209">
        <v>201259.61</v>
      </c>
      <c r="L29" s="192">
        <v>201259.6</v>
      </c>
      <c r="M29" s="218">
        <v>163763.74</v>
      </c>
      <c r="N29" s="218">
        <v>163763.75</v>
      </c>
      <c r="O29" s="192">
        <v>163056.82</v>
      </c>
      <c r="P29" s="192">
        <v>163057.07</v>
      </c>
      <c r="Q29" s="192">
        <v>174295.05</v>
      </c>
      <c r="R29" s="192">
        <v>174295.06</v>
      </c>
      <c r="S29" s="202">
        <v>247498.92</v>
      </c>
      <c r="T29" s="192">
        <v>247498.92</v>
      </c>
      <c r="U29" s="210">
        <v>182214.99</v>
      </c>
      <c r="V29" s="210">
        <v>182214.99</v>
      </c>
      <c r="W29" s="210">
        <v>192201.16</v>
      </c>
      <c r="X29" s="210">
        <v>192201.16</v>
      </c>
      <c r="Y29" s="217">
        <v>177340.48</v>
      </c>
      <c r="Z29" s="210">
        <v>177340.48</v>
      </c>
      <c r="AA29" s="230">
        <v>209478.39999999999</v>
      </c>
      <c r="AB29" s="125">
        <f t="shared" si="0"/>
        <v>274329.00999999995</v>
      </c>
      <c r="AC29" s="135">
        <v>274329.01</v>
      </c>
      <c r="AD29" s="141">
        <f t="shared" si="1"/>
        <v>0</v>
      </c>
      <c r="AE29" s="136"/>
      <c r="AF29" s="171"/>
    </row>
    <row r="30" spans="1:32" s="8" customFormat="1" x14ac:dyDescent="0.55000000000000004">
      <c r="A30" s="190" t="s">
        <v>185</v>
      </c>
      <c r="B30" s="97">
        <v>485832.46</v>
      </c>
      <c r="C30" s="101"/>
      <c r="D30" s="218"/>
      <c r="E30" s="218">
        <v>418071.58</v>
      </c>
      <c r="F30" s="218">
        <v>575067.85</v>
      </c>
      <c r="G30" s="218">
        <v>495593.09</v>
      </c>
      <c r="H30" s="192">
        <v>418071.58</v>
      </c>
      <c r="I30" s="218">
        <v>614254.76</v>
      </c>
      <c r="J30" s="218"/>
      <c r="K30" s="209">
        <v>707060.52</v>
      </c>
      <c r="L30" s="192">
        <f>495593.09+614254.76</f>
        <v>1109847.8500000001</v>
      </c>
      <c r="M30" s="218">
        <v>645806.57999999996</v>
      </c>
      <c r="N30" s="218"/>
      <c r="O30" s="192">
        <v>738947.73</v>
      </c>
      <c r="P30" s="192"/>
      <c r="Q30" s="218">
        <v>624043.51</v>
      </c>
      <c r="R30" s="192">
        <f>594839.52+1309940.31</f>
        <v>1904779.83</v>
      </c>
      <c r="S30" s="202">
        <v>618580.35</v>
      </c>
      <c r="T30" s="192"/>
      <c r="U30" s="210">
        <v>593044.76</v>
      </c>
      <c r="V30" s="210">
        <f>624043.51</f>
        <v>624043.51</v>
      </c>
      <c r="W30" s="210">
        <v>573016.49</v>
      </c>
      <c r="X30" s="210">
        <f>618580.35+593044.76</f>
        <v>1211625.1099999999</v>
      </c>
      <c r="Y30" s="217">
        <v>667550.43000000005</v>
      </c>
      <c r="Z30" s="210">
        <f>573016.49</f>
        <v>573016.49</v>
      </c>
      <c r="AA30" s="230">
        <v>676479.4</v>
      </c>
      <c r="AB30" s="125">
        <f t="shared" si="0"/>
        <v>1441829.4400000004</v>
      </c>
      <c r="AC30" s="135">
        <v>1404422.44</v>
      </c>
      <c r="AD30" s="141">
        <f t="shared" si="1"/>
        <v>37407.000000000466</v>
      </c>
      <c r="AE30" s="136"/>
      <c r="AF30" s="171"/>
    </row>
    <row r="31" spans="1:32" s="8" customFormat="1" x14ac:dyDescent="0.55000000000000004">
      <c r="A31" s="190" t="s">
        <v>48</v>
      </c>
      <c r="B31" s="97">
        <v>2829158.49</v>
      </c>
      <c r="C31" s="101"/>
      <c r="D31" s="218"/>
      <c r="E31" s="218">
        <v>484940.99</v>
      </c>
      <c r="F31" s="218"/>
      <c r="G31" s="218">
        <v>125457.27</v>
      </c>
      <c r="H31" s="192">
        <v>1965065.03</v>
      </c>
      <c r="I31" s="218">
        <v>111990</v>
      </c>
      <c r="J31" s="218">
        <f>383763.04+237447.27+122409.84+484940.99</f>
        <v>1228561.1399999999</v>
      </c>
      <c r="K31" s="209">
        <v>121094.03</v>
      </c>
      <c r="L31" s="192">
        <v>121094.03</v>
      </c>
      <c r="M31" s="218">
        <v>131581.19</v>
      </c>
      <c r="N31" s="218">
        <v>131581.19</v>
      </c>
      <c r="O31" s="192">
        <v>124819.97</v>
      </c>
      <c r="P31" s="192"/>
      <c r="Q31" s="192">
        <v>143059.92000000001</v>
      </c>
      <c r="R31" s="192">
        <v>124819.97</v>
      </c>
      <c r="S31" s="202">
        <v>133435.98000000001</v>
      </c>
      <c r="T31" s="192">
        <v>100120.39</v>
      </c>
      <c r="U31" s="210">
        <v>97917.18</v>
      </c>
      <c r="V31" s="210"/>
      <c r="W31" s="210">
        <v>69012.179999999993</v>
      </c>
      <c r="X31" s="210">
        <v>97917.18</v>
      </c>
      <c r="Y31" s="217">
        <v>70024.679999999993</v>
      </c>
      <c r="Z31" s="210">
        <f>69012.18+203460.66</f>
        <v>272472.83999999997</v>
      </c>
      <c r="AA31" s="230">
        <v>57773.08</v>
      </c>
      <c r="AB31" s="125">
        <f t="shared" si="0"/>
        <v>458633.19000000047</v>
      </c>
      <c r="AC31" s="135">
        <v>458633.19</v>
      </c>
      <c r="AD31" s="141">
        <f t="shared" si="1"/>
        <v>4.6566128730773926E-10</v>
      </c>
      <c r="AE31" s="143"/>
      <c r="AF31" s="171"/>
    </row>
    <row r="32" spans="1:32" s="8" customFormat="1" x14ac:dyDescent="0.55000000000000004">
      <c r="A32" s="190" t="s">
        <v>49</v>
      </c>
      <c r="B32" s="97">
        <v>463193.13</v>
      </c>
      <c r="C32" s="101"/>
      <c r="D32" s="218"/>
      <c r="E32" s="218">
        <v>29339.82</v>
      </c>
      <c r="F32" s="218">
        <f>77380.03+56205.06+146880.07</f>
        <v>280465.16000000003</v>
      </c>
      <c r="G32" s="218">
        <v>38578.18</v>
      </c>
      <c r="H32" s="192"/>
      <c r="I32" s="218">
        <v>53441.61</v>
      </c>
      <c r="J32" s="218">
        <v>92019.79</v>
      </c>
      <c r="K32" s="209">
        <v>47617.58</v>
      </c>
      <c r="L32" s="192"/>
      <c r="M32" s="218">
        <v>48367.95</v>
      </c>
      <c r="N32" s="218"/>
      <c r="O32" s="192">
        <v>49168.89</v>
      </c>
      <c r="P32" s="192"/>
      <c r="Q32" s="192">
        <v>49379.3</v>
      </c>
      <c r="R32" s="192"/>
      <c r="S32" s="202">
        <v>48591.03</v>
      </c>
      <c r="T32" s="192"/>
      <c r="U32" s="210">
        <v>44446.58</v>
      </c>
      <c r="V32" s="210"/>
      <c r="W32" s="210">
        <v>52987.65</v>
      </c>
      <c r="X32" s="210"/>
      <c r="Y32" s="217">
        <v>45398.19</v>
      </c>
      <c r="Z32" s="210"/>
      <c r="AA32" s="230">
        <v>38450.04</v>
      </c>
      <c r="AB32" s="125">
        <f t="shared" si="0"/>
        <v>636475</v>
      </c>
      <c r="AC32" s="135">
        <v>636475</v>
      </c>
      <c r="AD32" s="141">
        <f t="shared" si="1"/>
        <v>0</v>
      </c>
      <c r="AE32" s="136"/>
      <c r="AF32" s="171"/>
    </row>
    <row r="33" spans="1:32" s="8" customFormat="1" x14ac:dyDescent="0.55000000000000004">
      <c r="A33" s="190" t="s">
        <v>50</v>
      </c>
      <c r="B33" s="97">
        <v>257190.39999999999</v>
      </c>
      <c r="C33" s="101"/>
      <c r="D33" s="218">
        <f>113060.81</f>
        <v>113060.81</v>
      </c>
      <c r="E33" s="218">
        <v>212929.23</v>
      </c>
      <c r="F33" s="218">
        <f>60267.9+85051.03+23893.91+6448+987.6</f>
        <v>176648.44</v>
      </c>
      <c r="G33" s="218">
        <v>168997.3</v>
      </c>
      <c r="H33" s="192">
        <f>9152.54+132087.37+107085.85</f>
        <v>248325.76000000001</v>
      </c>
      <c r="I33" s="218">
        <v>164024.1</v>
      </c>
      <c r="J33" s="218"/>
      <c r="K33" s="209">
        <v>173090.08</v>
      </c>
      <c r="L33" s="192">
        <f>165753.19+107550.35+90127.35+24679.66</f>
        <v>388110.55</v>
      </c>
      <c r="M33" s="218">
        <v>165166.21</v>
      </c>
      <c r="N33" s="218">
        <f>58283.07+103790.62</f>
        <v>162073.69</v>
      </c>
      <c r="O33" s="192">
        <v>166884</v>
      </c>
      <c r="P33" s="192">
        <f>61375.59+102638.82</f>
        <v>164014.41</v>
      </c>
      <c r="Q33" s="192">
        <v>159702.64000000001</v>
      </c>
      <c r="R33" s="192">
        <f>57797.18+345.5+20643.41+1301.34+6448+81702.36</f>
        <v>168237.78999999998</v>
      </c>
      <c r="S33" s="202">
        <v>235069.67</v>
      </c>
      <c r="T33" s="192">
        <f>55710.03+108986.14</f>
        <v>164696.16999999998</v>
      </c>
      <c r="U33" s="210">
        <v>155423.03</v>
      </c>
      <c r="V33" s="210">
        <f>106231.82</f>
        <v>106231.82</v>
      </c>
      <c r="W33" s="210">
        <v>195499.27</v>
      </c>
      <c r="X33" s="210">
        <f>105068.62+6448+174848.86</f>
        <v>286365.48</v>
      </c>
      <c r="Y33" s="217">
        <v>173417.46</v>
      </c>
      <c r="Z33" s="210">
        <f>45748.4+118888.84+50765.58</f>
        <v>215402.82</v>
      </c>
      <c r="AA33" s="230">
        <v>184419.26</v>
      </c>
      <c r="AB33" s="125">
        <f t="shared" si="0"/>
        <v>218644.91</v>
      </c>
      <c r="AC33" s="135">
        <v>218644.91</v>
      </c>
      <c r="AD33" s="141">
        <f t="shared" si="1"/>
        <v>0</v>
      </c>
      <c r="AE33" s="136"/>
      <c r="AF33" s="171"/>
    </row>
    <row r="34" spans="1:32" s="8" customFormat="1" x14ac:dyDescent="0.55000000000000004">
      <c r="A34" s="190" t="s">
        <v>51</v>
      </c>
      <c r="B34" s="97">
        <v>540144</v>
      </c>
      <c r="C34" s="101"/>
      <c r="D34" s="218">
        <v>245520</v>
      </c>
      <c r="E34" s="218">
        <v>245520</v>
      </c>
      <c r="F34" s="218">
        <v>245520</v>
      </c>
      <c r="G34" s="218">
        <v>245520</v>
      </c>
      <c r="H34" s="192">
        <v>245520</v>
      </c>
      <c r="I34" s="218">
        <v>245520</v>
      </c>
      <c r="J34" s="218">
        <f>245520+245520</f>
        <v>491040</v>
      </c>
      <c r="K34" s="209">
        <v>245520</v>
      </c>
      <c r="L34" s="192"/>
      <c r="M34" s="218">
        <v>237336</v>
      </c>
      <c r="N34" s="218">
        <v>245520</v>
      </c>
      <c r="O34" s="192">
        <v>237336</v>
      </c>
      <c r="P34" s="192">
        <v>237336</v>
      </c>
      <c r="Q34" s="192">
        <v>237336</v>
      </c>
      <c r="R34" s="192">
        <f>237336</f>
        <v>237336</v>
      </c>
      <c r="S34" s="202">
        <v>237336</v>
      </c>
      <c r="T34" s="192">
        <v>237336</v>
      </c>
      <c r="U34" s="210">
        <v>237336</v>
      </c>
      <c r="V34" s="210">
        <v>237336</v>
      </c>
      <c r="W34" s="210">
        <v>237336</v>
      </c>
      <c r="X34" s="210">
        <v>237336</v>
      </c>
      <c r="Y34" s="217">
        <v>237336</v>
      </c>
      <c r="Z34" s="210">
        <v>237336</v>
      </c>
      <c r="AA34" s="230">
        <v>237336</v>
      </c>
      <c r="AB34" s="125">
        <f t="shared" si="0"/>
        <v>523776</v>
      </c>
      <c r="AC34" s="135">
        <v>523776</v>
      </c>
      <c r="AD34" s="141">
        <f t="shared" si="1"/>
        <v>0</v>
      </c>
      <c r="AE34" s="136"/>
      <c r="AF34" s="171"/>
    </row>
    <row r="35" spans="1:32" s="8" customFormat="1" x14ac:dyDescent="0.55000000000000004">
      <c r="A35" s="190" t="s">
        <v>52</v>
      </c>
      <c r="B35" s="97">
        <v>1041560.52</v>
      </c>
      <c r="C35" s="101"/>
      <c r="D35" s="218"/>
      <c r="E35" s="218">
        <v>0</v>
      </c>
      <c r="F35" s="218"/>
      <c r="G35" s="218"/>
      <c r="H35" s="192">
        <v>1151.03</v>
      </c>
      <c r="I35" s="218">
        <v>0</v>
      </c>
      <c r="J35" s="218"/>
      <c r="K35" s="209"/>
      <c r="L35" s="192">
        <v>45059.63</v>
      </c>
      <c r="M35" s="218">
        <v>0</v>
      </c>
      <c r="N35" s="218"/>
      <c r="O35" s="192">
        <v>0</v>
      </c>
      <c r="P35" s="192">
        <f>7913.11+7821.87</f>
        <v>15734.98</v>
      </c>
      <c r="Q35" s="192">
        <v>1094.81</v>
      </c>
      <c r="R35" s="192"/>
      <c r="S35" s="192"/>
      <c r="T35" s="192"/>
      <c r="U35" s="192"/>
      <c r="V35" s="192"/>
      <c r="W35" s="192">
        <v>0</v>
      </c>
      <c r="X35" s="192"/>
      <c r="Y35" s="218">
        <v>0</v>
      </c>
      <c r="Z35" s="192"/>
      <c r="AA35" s="112">
        <v>0</v>
      </c>
      <c r="AB35" s="125">
        <f t="shared" si="0"/>
        <v>980709.69000000006</v>
      </c>
      <c r="AC35" s="152">
        <f>AB35+AA35+Z35+Y35+X35+W35+V35</f>
        <v>980709.69000000006</v>
      </c>
      <c r="AD35" s="141">
        <f t="shared" si="1"/>
        <v>0</v>
      </c>
      <c r="AE35" s="136"/>
      <c r="AF35" s="171"/>
    </row>
    <row r="36" spans="1:32" s="8" customFormat="1" x14ac:dyDescent="0.55000000000000004">
      <c r="A36" s="279" t="s">
        <v>53</v>
      </c>
      <c r="B36" s="280">
        <v>5510442.96</v>
      </c>
      <c r="C36" s="281"/>
      <c r="D36" s="282">
        <f>1094750.57+1026238.41+1218990.76+1075346.16</f>
        <v>4415325.9000000004</v>
      </c>
      <c r="E36" s="282">
        <v>1277853.56</v>
      </c>
      <c r="F36" s="282">
        <f>1277853.56+1243422.27</f>
        <v>2521275.83</v>
      </c>
      <c r="G36" s="282">
        <v>1108207.45</v>
      </c>
      <c r="H36" s="282">
        <v>1108207.45</v>
      </c>
      <c r="I36" s="282">
        <v>1178075.68</v>
      </c>
      <c r="J36" s="282">
        <v>1178075.68</v>
      </c>
      <c r="K36" s="283">
        <v>1142389.78</v>
      </c>
      <c r="L36" s="282">
        <f>1142389.78</f>
        <v>1142389.78</v>
      </c>
      <c r="M36" s="282">
        <v>1017694</v>
      </c>
      <c r="N36" s="282">
        <v>1017694</v>
      </c>
      <c r="O36" s="282">
        <v>667568.18999999994</v>
      </c>
      <c r="P36" s="282">
        <v>667568.18999999994</v>
      </c>
      <c r="Q36" s="282">
        <v>634178.57999999996</v>
      </c>
      <c r="R36" s="282"/>
      <c r="S36" s="284">
        <v>644262.36</v>
      </c>
      <c r="T36" s="282">
        <f>634178.58+644262.36</f>
        <v>1278440.94</v>
      </c>
      <c r="U36" s="285">
        <v>583285.09</v>
      </c>
      <c r="V36" s="285">
        <v>583285.09</v>
      </c>
      <c r="W36" s="285">
        <v>3334522.8799999999</v>
      </c>
      <c r="X36" s="285">
        <v>1109933.6599999999</v>
      </c>
      <c r="Y36" s="285">
        <v>1311060.6299999999</v>
      </c>
      <c r="Z36" s="285">
        <f>1311060.63+1039938.93</f>
        <v>2350999.56</v>
      </c>
      <c r="AA36" s="286">
        <v>1201137.68</v>
      </c>
      <c r="AB36" s="287">
        <f t="shared" si="0"/>
        <v>2237482.7599999998</v>
      </c>
      <c r="AC36" s="288">
        <v>2237482.75</v>
      </c>
      <c r="AD36" s="141">
        <f t="shared" si="1"/>
        <v>9.9999997764825821E-3</v>
      </c>
      <c r="AE36" s="143" t="e">
        <f>AC36-#REF!</f>
        <v>#REF!</v>
      </c>
      <c r="AF36" s="171"/>
    </row>
    <row r="37" spans="1:32" s="8" customFormat="1" x14ac:dyDescent="0.55000000000000004">
      <c r="A37" s="190" t="s">
        <v>54</v>
      </c>
      <c r="B37" s="97">
        <v>916097.16</v>
      </c>
      <c r="C37" s="101"/>
      <c r="D37" s="218"/>
      <c r="E37" s="218">
        <v>0</v>
      </c>
      <c r="F37" s="218"/>
      <c r="G37" s="218"/>
      <c r="H37" s="192"/>
      <c r="I37" s="218">
        <v>197.27</v>
      </c>
      <c r="J37" s="218"/>
      <c r="K37" s="209"/>
      <c r="L37" s="192"/>
      <c r="M37" s="218">
        <v>0</v>
      </c>
      <c r="N37" s="218"/>
      <c r="O37" s="192">
        <v>0</v>
      </c>
      <c r="P37" s="192"/>
      <c r="Q37" s="192"/>
      <c r="R37" s="192"/>
      <c r="S37" s="192"/>
      <c r="T37" s="192"/>
      <c r="U37" s="192"/>
      <c r="V37" s="192"/>
      <c r="W37" s="192">
        <v>0</v>
      </c>
      <c r="X37" s="192"/>
      <c r="Y37" s="218">
        <v>0</v>
      </c>
      <c r="Z37" s="192"/>
      <c r="AA37" s="112">
        <v>0</v>
      </c>
      <c r="AB37" s="125">
        <f t="shared" si="0"/>
        <v>916294.43</v>
      </c>
      <c r="AC37" s="135">
        <f>AB37+AA37+Z37+Y37+X37+W37+V37</f>
        <v>916294.43</v>
      </c>
      <c r="AD37" s="141">
        <f t="shared" si="1"/>
        <v>0</v>
      </c>
      <c r="AE37" s="136"/>
      <c r="AF37" s="171"/>
    </row>
    <row r="38" spans="1:32" s="8" customFormat="1" x14ac:dyDescent="0.55000000000000004">
      <c r="A38" s="190" t="s">
        <v>55</v>
      </c>
      <c r="B38" s="105">
        <v>41234.68</v>
      </c>
      <c r="C38" s="101"/>
      <c r="D38" s="218">
        <v>0</v>
      </c>
      <c r="E38" s="218">
        <v>0</v>
      </c>
      <c r="F38" s="218"/>
      <c r="G38" s="218"/>
      <c r="H38" s="192"/>
      <c r="I38" s="218">
        <v>0</v>
      </c>
      <c r="J38" s="218"/>
      <c r="K38" s="209"/>
      <c r="L38" s="192"/>
      <c r="M38" s="218">
        <v>0</v>
      </c>
      <c r="N38" s="218"/>
      <c r="O38" s="192">
        <v>0</v>
      </c>
      <c r="P38" s="192"/>
      <c r="Q38" s="192"/>
      <c r="R38" s="192"/>
      <c r="S38" s="192"/>
      <c r="T38" s="192"/>
      <c r="U38" s="192"/>
      <c r="V38" s="192"/>
      <c r="W38" s="192">
        <v>0</v>
      </c>
      <c r="X38" s="192"/>
      <c r="Y38" s="218">
        <v>0</v>
      </c>
      <c r="Z38" s="192"/>
      <c r="AA38" s="112">
        <v>0</v>
      </c>
      <c r="AB38" s="125">
        <f t="shared" ref="AB38:AB69" si="2">B38+C38-D38+E38-F38+G38-H38+I38-J38+K38-L38+M38-N38+O38-P38+Q38-R38+S38-T38+U38-V38+W38-X38+Y38-Z38+AA38</f>
        <v>41234.68</v>
      </c>
      <c r="AC38" s="135">
        <f>AB38+AA38+Z38+Y38+X38+W38+V38</f>
        <v>41234.68</v>
      </c>
      <c r="AD38" s="141">
        <f t="shared" si="1"/>
        <v>0</v>
      </c>
      <c r="AE38" s="136"/>
      <c r="AF38" s="171"/>
    </row>
    <row r="39" spans="1:32" s="8" customFormat="1" x14ac:dyDescent="0.55000000000000004">
      <c r="A39" s="190" t="s">
        <v>56</v>
      </c>
      <c r="B39" s="97">
        <v>397512.93</v>
      </c>
      <c r="C39" s="101"/>
      <c r="D39" s="218"/>
      <c r="E39" s="218">
        <v>36440</v>
      </c>
      <c r="F39" s="218">
        <v>143229.19</v>
      </c>
      <c r="G39" s="218">
        <v>36440</v>
      </c>
      <c r="H39" s="192"/>
      <c r="I39" s="218">
        <v>36440</v>
      </c>
      <c r="J39" s="218">
        <v>158827.79</v>
      </c>
      <c r="K39" s="209">
        <v>36440</v>
      </c>
      <c r="L39" s="192"/>
      <c r="M39" s="218">
        <v>36440</v>
      </c>
      <c r="N39" s="218">
        <v>244075.48</v>
      </c>
      <c r="O39" s="192">
        <v>36440</v>
      </c>
      <c r="P39" s="192"/>
      <c r="Q39" s="192">
        <v>36440</v>
      </c>
      <c r="R39" s="192">
        <f>72880+36440</f>
        <v>109320</v>
      </c>
      <c r="S39" s="202">
        <v>36440</v>
      </c>
      <c r="T39" s="192"/>
      <c r="U39" s="210">
        <v>36440</v>
      </c>
      <c r="V39" s="210">
        <v>72880</v>
      </c>
      <c r="W39" s="210">
        <v>36440</v>
      </c>
      <c r="X39" s="210">
        <v>36440</v>
      </c>
      <c r="Y39" s="217">
        <v>36440</v>
      </c>
      <c r="Z39" s="210">
        <v>72880</v>
      </c>
      <c r="AA39" s="230">
        <v>36440</v>
      </c>
      <c r="AB39" s="125">
        <f t="shared" si="2"/>
        <v>-2859.530000000057</v>
      </c>
      <c r="AC39" s="135">
        <v>-2859.53</v>
      </c>
      <c r="AD39" s="141">
        <f t="shared" si="1"/>
        <v>-5.6843418860808015E-11</v>
      </c>
      <c r="AE39" s="136"/>
      <c r="AF39" s="171"/>
    </row>
    <row r="40" spans="1:32" s="8" customFormat="1" x14ac:dyDescent="0.55000000000000004">
      <c r="A40" s="190" t="s">
        <v>57</v>
      </c>
      <c r="B40" s="97">
        <v>888559.58</v>
      </c>
      <c r="C40" s="101"/>
      <c r="D40" s="218"/>
      <c r="E40" s="218">
        <v>434176.31</v>
      </c>
      <c r="F40" s="218">
        <v>974356.84</v>
      </c>
      <c r="G40" s="218">
        <v>476106.62</v>
      </c>
      <c r="H40" s="192"/>
      <c r="I40" s="218">
        <v>479601.63</v>
      </c>
      <c r="J40" s="218">
        <v>838741.58</v>
      </c>
      <c r="K40" s="209">
        <v>477184.07</v>
      </c>
      <c r="L40" s="192">
        <f>479601.63+477184.07</f>
        <v>956785.7</v>
      </c>
      <c r="M40" s="218">
        <v>446675.24</v>
      </c>
      <c r="N40" s="218">
        <v>446675.24</v>
      </c>
      <c r="O40" s="192">
        <v>473537.94</v>
      </c>
      <c r="P40" s="192"/>
      <c r="Q40" s="192">
        <v>437475.87</v>
      </c>
      <c r="R40" s="192">
        <f>473537.94+437475.87</f>
        <v>911013.81</v>
      </c>
      <c r="S40" s="202">
        <v>549935.39</v>
      </c>
      <c r="T40" s="192"/>
      <c r="U40" s="210">
        <v>480896.89</v>
      </c>
      <c r="V40" s="210"/>
      <c r="W40" s="210">
        <v>494737.53</v>
      </c>
      <c r="X40" s="210">
        <f>480896.89+549935.39+494737.53</f>
        <v>1525569.81</v>
      </c>
      <c r="Y40" s="217">
        <v>496406.26</v>
      </c>
      <c r="Z40" s="210">
        <v>496406.26</v>
      </c>
      <c r="AA40" s="230">
        <v>585743.82999999996</v>
      </c>
      <c r="AB40" s="125">
        <f t="shared" si="2"/>
        <v>571487.91999999981</v>
      </c>
      <c r="AC40" s="135">
        <v>571487.92000000004</v>
      </c>
      <c r="AD40" s="141">
        <f t="shared" si="1"/>
        <v>0</v>
      </c>
      <c r="AE40" s="136"/>
      <c r="AF40" s="171"/>
    </row>
    <row r="41" spans="1:32" s="8" customFormat="1" x14ac:dyDescent="0.55000000000000004">
      <c r="A41" s="190" t="s">
        <v>58</v>
      </c>
      <c r="B41" s="97">
        <v>1284165.28</v>
      </c>
      <c r="C41" s="101"/>
      <c r="D41" s="218">
        <f>80+283264.98+594787.08+245432.3</f>
        <v>1123564.3599999999</v>
      </c>
      <c r="E41" s="218">
        <v>222000</v>
      </c>
      <c r="F41" s="218"/>
      <c r="G41" s="218">
        <v>308498.03000000003</v>
      </c>
      <c r="H41" s="192"/>
      <c r="I41" s="218">
        <v>398632.95</v>
      </c>
      <c r="J41" s="218">
        <f>232888.12+220834.63</f>
        <v>453722.75</v>
      </c>
      <c r="K41" s="209">
        <v>406351.02</v>
      </c>
      <c r="L41" s="192">
        <v>308498.03000000003</v>
      </c>
      <c r="M41" s="218">
        <v>434597.81</v>
      </c>
      <c r="N41" s="218">
        <f>398632.95+406351.02</f>
        <v>804983.97</v>
      </c>
      <c r="O41" s="192">
        <v>368356.41</v>
      </c>
      <c r="P41" s="192">
        <v>430278.59</v>
      </c>
      <c r="Q41" s="192">
        <v>422644.62</v>
      </c>
      <c r="R41" s="192">
        <v>366783.25</v>
      </c>
      <c r="S41" s="202">
        <v>419214.66</v>
      </c>
      <c r="T41" s="192">
        <v>422644.62</v>
      </c>
      <c r="U41" s="210">
        <v>395222.13</v>
      </c>
      <c r="V41" s="210"/>
      <c r="W41" s="210">
        <v>382751.76</v>
      </c>
      <c r="X41" s="210">
        <f>410764.36+387116.44</f>
        <v>797880.8</v>
      </c>
      <c r="Y41" s="217">
        <v>407285.08</v>
      </c>
      <c r="Z41" s="210">
        <v>369694.41</v>
      </c>
      <c r="AA41" s="230">
        <v>509703.14</v>
      </c>
      <c r="AB41" s="125">
        <f t="shared" si="2"/>
        <v>881372.1100000001</v>
      </c>
      <c r="AC41" s="135">
        <v>881372.11</v>
      </c>
      <c r="AD41" s="141">
        <f t="shared" si="1"/>
        <v>0</v>
      </c>
      <c r="AE41" s="136"/>
      <c r="AF41" s="171"/>
    </row>
    <row r="42" spans="1:32" s="8" customFormat="1" x14ac:dyDescent="0.55000000000000004">
      <c r="A42" s="190" t="s">
        <v>59</v>
      </c>
      <c r="B42" s="97">
        <v>105899.34</v>
      </c>
      <c r="C42" s="101"/>
      <c r="D42" s="218">
        <v>96619.53</v>
      </c>
      <c r="E42" s="218">
        <v>152254.6</v>
      </c>
      <c r="F42" s="218">
        <v>152254.6</v>
      </c>
      <c r="G42" s="218">
        <v>126892.8</v>
      </c>
      <c r="H42" s="192">
        <v>126892.8</v>
      </c>
      <c r="I42" s="218">
        <v>103459.45</v>
      </c>
      <c r="J42" s="218">
        <v>103459.45</v>
      </c>
      <c r="K42" s="209">
        <v>147911.71</v>
      </c>
      <c r="L42" s="192">
        <v>147911.71</v>
      </c>
      <c r="M42" s="218">
        <v>96895.6</v>
      </c>
      <c r="N42" s="218"/>
      <c r="O42" s="192">
        <v>109885.32</v>
      </c>
      <c r="P42" s="192">
        <v>96895.6</v>
      </c>
      <c r="Q42" s="192">
        <v>171053.53</v>
      </c>
      <c r="R42" s="192"/>
      <c r="S42" s="202">
        <v>217188.97</v>
      </c>
      <c r="T42" s="192"/>
      <c r="U42" s="210">
        <v>93534.32</v>
      </c>
      <c r="V42" s="210">
        <v>109885.32</v>
      </c>
      <c r="W42" s="210">
        <v>91212.2</v>
      </c>
      <c r="X42" s="210">
        <f>171053.53+217188.97+93534.32+91212.2</f>
        <v>572989.02</v>
      </c>
      <c r="Y42" s="217">
        <v>87835.41</v>
      </c>
      <c r="Z42" s="210">
        <v>87835.41</v>
      </c>
      <c r="AA42" s="230">
        <v>327689.90000000002</v>
      </c>
      <c r="AB42" s="125">
        <f t="shared" si="2"/>
        <v>336969.70999999996</v>
      </c>
      <c r="AC42" s="135">
        <v>336939.71</v>
      </c>
      <c r="AD42" s="141">
        <f t="shared" si="1"/>
        <v>29.999999999941792</v>
      </c>
      <c r="AE42" s="136"/>
      <c r="AF42" s="171"/>
    </row>
    <row r="43" spans="1:32" s="8" customFormat="1" x14ac:dyDescent="0.55000000000000004">
      <c r="A43" s="190" t="s">
        <v>60</v>
      </c>
      <c r="B43" s="97">
        <v>949575.53</v>
      </c>
      <c r="C43" s="101"/>
      <c r="D43" s="218">
        <v>483425.77</v>
      </c>
      <c r="E43" s="218">
        <v>498316.73</v>
      </c>
      <c r="F43" s="218"/>
      <c r="G43" s="218">
        <v>500526.57</v>
      </c>
      <c r="H43" s="192">
        <f>503569.85+498165.14</f>
        <v>1001734.99</v>
      </c>
      <c r="I43" s="218">
        <v>486361.33</v>
      </c>
      <c r="J43" s="218">
        <v>500526.57</v>
      </c>
      <c r="K43" s="209">
        <v>472310.61</v>
      </c>
      <c r="L43" s="192">
        <v>486361.33</v>
      </c>
      <c r="M43" s="218">
        <v>516941.35</v>
      </c>
      <c r="N43" s="218">
        <v>469564.78</v>
      </c>
      <c r="O43" s="192">
        <v>458777.82</v>
      </c>
      <c r="P43" s="192">
        <v>516941.35</v>
      </c>
      <c r="Q43" s="192">
        <v>458987.39</v>
      </c>
      <c r="R43" s="192">
        <v>458777.82</v>
      </c>
      <c r="S43" s="202">
        <v>459172.35</v>
      </c>
      <c r="T43" s="192">
        <v>458987.39</v>
      </c>
      <c r="U43" s="210">
        <v>442780.27</v>
      </c>
      <c r="V43" s="210">
        <v>459172.35</v>
      </c>
      <c r="W43" s="210">
        <v>416231.37</v>
      </c>
      <c r="X43" s="210">
        <v>442780.27</v>
      </c>
      <c r="Y43" s="217">
        <v>457080.45</v>
      </c>
      <c r="Z43" s="210">
        <v>388290.13</v>
      </c>
      <c r="AA43" s="230">
        <v>457924.71</v>
      </c>
      <c r="AB43" s="125">
        <f t="shared" si="2"/>
        <v>908423.73000000045</v>
      </c>
      <c r="AC43" s="135">
        <v>908423.73</v>
      </c>
      <c r="AD43" s="141">
        <f t="shared" si="1"/>
        <v>0</v>
      </c>
      <c r="AE43" s="136"/>
      <c r="AF43" s="171"/>
    </row>
    <row r="44" spans="1:32" s="8" customFormat="1" x14ac:dyDescent="0.55000000000000004">
      <c r="A44" s="190" t="s">
        <v>61</v>
      </c>
      <c r="B44" s="97">
        <v>6028.43</v>
      </c>
      <c r="C44" s="101"/>
      <c r="D44" s="218">
        <f>7278.1+78+25762.5+79584.58+23256.45+109636.88</f>
        <v>245596.51</v>
      </c>
      <c r="E44" s="218">
        <v>81681.89</v>
      </c>
      <c r="F44" s="218">
        <f>5555+60542.51+8161.08+1983.3</f>
        <v>76241.890000000014</v>
      </c>
      <c r="G44" s="218">
        <v>89299.35</v>
      </c>
      <c r="H44" s="192">
        <v>5440</v>
      </c>
      <c r="I44" s="218">
        <v>89808.01</v>
      </c>
      <c r="J44" s="218">
        <f>5555+1065.77+5992.2+13767.19+27773+11343.28+81357.47+30847.26</f>
        <v>177701.17</v>
      </c>
      <c r="K44" s="209">
        <v>87408.98</v>
      </c>
      <c r="L44" s="192">
        <f>41850.16+38840.26+6718.56</f>
        <v>87408.98000000001</v>
      </c>
      <c r="M44" s="218">
        <v>85886.45</v>
      </c>
      <c r="N44" s="218">
        <f>6838+27773+38588.82+6208.35</f>
        <v>79408.170000000013</v>
      </c>
      <c r="O44" s="192">
        <v>86512.6</v>
      </c>
      <c r="P44" s="192">
        <f>29170.1+5728+51614.5</f>
        <v>86512.6</v>
      </c>
      <c r="Q44" s="192">
        <v>89875.88</v>
      </c>
      <c r="R44" s="192">
        <f>43193.37+251+13652.09+46145.4+841.86+38801.55+13473</f>
        <v>156358.27000000002</v>
      </c>
      <c r="S44" s="202">
        <v>92388.27</v>
      </c>
      <c r="T44" s="192">
        <f>5440+30924.76</f>
        <v>36364.759999999995</v>
      </c>
      <c r="U44" s="210">
        <v>95322.73</v>
      </c>
      <c r="V44" s="210">
        <f>5440+55544.51+479+30238.04+5555+3367.49+51143.56+5018.64</f>
        <v>156786.24000000002</v>
      </c>
      <c r="W44" s="210">
        <v>93766.32</v>
      </c>
      <c r="X44" s="210">
        <f>30833.11+62050.11</f>
        <v>92883.22</v>
      </c>
      <c r="Y44" s="217">
        <v>104961.07</v>
      </c>
      <c r="Z44" s="210">
        <f>7475.05+52902.63</f>
        <v>60377.68</v>
      </c>
      <c r="AA44" s="230">
        <v>113498.81</v>
      </c>
      <c r="AB44" s="125">
        <f t="shared" si="2"/>
        <v>-144640.70000000013</v>
      </c>
      <c r="AC44" s="135">
        <v>-144640.70000000001</v>
      </c>
      <c r="AD44" s="141">
        <f t="shared" si="1"/>
        <v>0</v>
      </c>
      <c r="AE44" s="143"/>
      <c r="AF44" s="171"/>
    </row>
    <row r="45" spans="1:32" s="8" customFormat="1" x14ac:dyDescent="0.55000000000000004">
      <c r="A45" s="190" t="s">
        <v>186</v>
      </c>
      <c r="B45" s="97">
        <v>757353.06</v>
      </c>
      <c r="C45" s="97"/>
      <c r="D45" s="218">
        <v>0</v>
      </c>
      <c r="E45" s="218">
        <v>41658.51</v>
      </c>
      <c r="F45" s="218">
        <v>39403.46</v>
      </c>
      <c r="G45" s="218">
        <v>44377.82</v>
      </c>
      <c r="H45" s="192">
        <v>30991.71</v>
      </c>
      <c r="I45" s="218">
        <v>35090.68</v>
      </c>
      <c r="J45" s="218">
        <v>31869.75</v>
      </c>
      <c r="K45" s="209">
        <v>33051</v>
      </c>
      <c r="L45" s="192">
        <v>31879.46</v>
      </c>
      <c r="M45" s="218">
        <v>33973.53</v>
      </c>
      <c r="N45" s="218">
        <v>33051</v>
      </c>
      <c r="O45" s="192">
        <v>34012.18</v>
      </c>
      <c r="P45" s="192">
        <v>33973.53</v>
      </c>
      <c r="Q45" s="192">
        <v>34027.78</v>
      </c>
      <c r="R45" s="192">
        <v>34012.18</v>
      </c>
      <c r="S45" s="202">
        <v>33878.449999999997</v>
      </c>
      <c r="T45" s="192"/>
      <c r="U45" s="210">
        <v>35247.050000000003</v>
      </c>
      <c r="V45" s="210">
        <v>33878.449999999997</v>
      </c>
      <c r="W45" s="210">
        <v>34348.81</v>
      </c>
      <c r="X45" s="210"/>
      <c r="Y45" s="217">
        <v>32847.629999999997</v>
      </c>
      <c r="Z45" s="210">
        <v>69595.86</v>
      </c>
      <c r="AA45" s="230">
        <v>34955.1</v>
      </c>
      <c r="AB45" s="125">
        <f t="shared" si="2"/>
        <v>846166.2000000003</v>
      </c>
      <c r="AC45" s="150">
        <f>39536.45+806629.75</f>
        <v>846166.2</v>
      </c>
      <c r="AD45" s="141">
        <f t="shared" si="1"/>
        <v>0</v>
      </c>
      <c r="AE45" s="136"/>
      <c r="AF45" s="171"/>
    </row>
    <row r="46" spans="1:32" s="8" customFormat="1" x14ac:dyDescent="0.55000000000000004">
      <c r="A46" s="190" t="s">
        <v>63</v>
      </c>
      <c r="B46" s="104">
        <v>1395707.75</v>
      </c>
      <c r="C46" s="101"/>
      <c r="D46" s="218"/>
      <c r="E46" s="218">
        <v>94106.32</v>
      </c>
      <c r="F46" s="218">
        <v>611648.69999999995</v>
      </c>
      <c r="G46" s="218">
        <v>103527.03999999999</v>
      </c>
      <c r="H46" s="192"/>
      <c r="I46" s="218">
        <v>101491.58</v>
      </c>
      <c r="J46" s="218"/>
      <c r="K46" s="209">
        <v>95560.52</v>
      </c>
      <c r="L46" s="192"/>
      <c r="M46" s="218">
        <v>83851.3</v>
      </c>
      <c r="N46" s="218"/>
      <c r="O46" s="192">
        <v>45561.55</v>
      </c>
      <c r="P46" s="192"/>
      <c r="Q46" s="192">
        <v>99027.75</v>
      </c>
      <c r="R46" s="192">
        <f>261927.14+409470.08</f>
        <v>671397.22</v>
      </c>
      <c r="S46" s="202">
        <v>31575.119999999999</v>
      </c>
      <c r="T46" s="192">
        <v>280903.40000000002</v>
      </c>
      <c r="U46" s="210">
        <v>45799.37</v>
      </c>
      <c r="V46" s="210"/>
      <c r="W46" s="210">
        <v>44922.97</v>
      </c>
      <c r="X46" s="210">
        <v>136283.89000000001</v>
      </c>
      <c r="Y46" s="217">
        <v>162587.93</v>
      </c>
      <c r="Z46" s="210"/>
      <c r="AA46" s="230">
        <v>67545.5</v>
      </c>
      <c r="AB46" s="125">
        <f t="shared" si="2"/>
        <v>671031.49000000022</v>
      </c>
      <c r="AC46" s="135">
        <v>671031.49</v>
      </c>
      <c r="AD46" s="141">
        <f t="shared" si="1"/>
        <v>0</v>
      </c>
      <c r="AE46" s="136"/>
      <c r="AF46" s="171"/>
    </row>
    <row r="47" spans="1:32" s="8" customFormat="1" x14ac:dyDescent="0.55000000000000004">
      <c r="A47" s="190" t="s">
        <v>64</v>
      </c>
      <c r="B47" s="103">
        <v>887347.96</v>
      </c>
      <c r="C47" s="101"/>
      <c r="D47" s="218"/>
      <c r="E47" s="218">
        <v>175122.75</v>
      </c>
      <c r="F47" s="218">
        <v>172210.65</v>
      </c>
      <c r="G47" s="218">
        <v>183134.73</v>
      </c>
      <c r="H47" s="192">
        <v>0</v>
      </c>
      <c r="I47" s="218">
        <v>222837.12</v>
      </c>
      <c r="J47" s="218">
        <v>175122.75</v>
      </c>
      <c r="K47" s="209">
        <v>156147.96</v>
      </c>
      <c r="L47" s="192">
        <f>183134.73+222837.12+170956.46</f>
        <v>576928.30999999994</v>
      </c>
      <c r="M47" s="218">
        <v>163137.81</v>
      </c>
      <c r="N47" s="218"/>
      <c r="O47" s="192">
        <v>160228.75</v>
      </c>
      <c r="P47" s="192"/>
      <c r="Q47" s="192">
        <v>169781.07</v>
      </c>
      <c r="R47" s="192">
        <v>319285.77</v>
      </c>
      <c r="S47" s="202">
        <v>175996.49</v>
      </c>
      <c r="T47" s="192">
        <f>160228.75+686422.58</f>
        <v>846651.33</v>
      </c>
      <c r="U47" s="210">
        <v>134541.59</v>
      </c>
      <c r="V47" s="210"/>
      <c r="W47" s="210">
        <v>139024.60999999999</v>
      </c>
      <c r="X47" s="210"/>
      <c r="Y47" s="217">
        <v>138702.43</v>
      </c>
      <c r="Z47" s="210">
        <v>303452.49</v>
      </c>
      <c r="AA47" s="230">
        <v>122054.41</v>
      </c>
      <c r="AB47" s="125">
        <f t="shared" si="2"/>
        <v>434406.38000000024</v>
      </c>
      <c r="AC47" s="135">
        <v>434406.38</v>
      </c>
      <c r="AD47" s="141">
        <f t="shared" si="1"/>
        <v>0</v>
      </c>
      <c r="AE47" s="136"/>
      <c r="AF47" s="171"/>
    </row>
    <row r="48" spans="1:32" s="8" customFormat="1" x14ac:dyDescent="0.55000000000000004">
      <c r="A48" s="190" t="s">
        <v>65</v>
      </c>
      <c r="B48" s="97">
        <v>778722.09</v>
      </c>
      <c r="C48" s="101"/>
      <c r="D48" s="218">
        <v>56813.75</v>
      </c>
      <c r="E48" s="218">
        <v>59033.15</v>
      </c>
      <c r="F48" s="218">
        <v>70240.91</v>
      </c>
      <c r="G48" s="218">
        <v>65531.49</v>
      </c>
      <c r="H48" s="192"/>
      <c r="I48" s="218">
        <v>74203.64</v>
      </c>
      <c r="J48" s="218">
        <f>65531.49+241413.87</f>
        <v>306945.36</v>
      </c>
      <c r="K48" s="209">
        <v>67522.84</v>
      </c>
      <c r="L48" s="192">
        <f>67522.84+74203.64</f>
        <v>141726.47999999998</v>
      </c>
      <c r="M48" s="218">
        <v>83230.28</v>
      </c>
      <c r="N48" s="218"/>
      <c r="O48" s="192">
        <v>78754.47</v>
      </c>
      <c r="P48" s="192">
        <v>83230.28</v>
      </c>
      <c r="Q48" s="192">
        <v>77496.5</v>
      </c>
      <c r="R48" s="192">
        <v>78754.47</v>
      </c>
      <c r="S48" s="202">
        <v>72917.279999999999</v>
      </c>
      <c r="T48" s="192"/>
      <c r="U48" s="210">
        <v>63777.97</v>
      </c>
      <c r="V48" s="210"/>
      <c r="W48" s="210">
        <v>133501.46</v>
      </c>
      <c r="X48" s="210"/>
      <c r="Y48" s="217">
        <v>88813.41</v>
      </c>
      <c r="Z48" s="210"/>
      <c r="AA48" s="230">
        <v>178533.45</v>
      </c>
      <c r="AB48" s="125">
        <f t="shared" si="2"/>
        <v>1084326.78</v>
      </c>
      <c r="AC48" s="135">
        <v>1084326.78</v>
      </c>
      <c r="AD48" s="141">
        <f t="shared" si="1"/>
        <v>0</v>
      </c>
      <c r="AE48" s="136"/>
      <c r="AF48" s="171"/>
    </row>
    <row r="49" spans="1:32" s="8" customFormat="1" x14ac:dyDescent="0.55000000000000004">
      <c r="A49" s="190" t="s">
        <v>66</v>
      </c>
      <c r="B49" s="97">
        <v>114017.77</v>
      </c>
      <c r="C49" s="101">
        <v>5923.29</v>
      </c>
      <c r="D49" s="218"/>
      <c r="E49" s="218">
        <v>152311.37</v>
      </c>
      <c r="F49" s="218">
        <v>136306.60999999999</v>
      </c>
      <c r="G49" s="218">
        <v>169583.23</v>
      </c>
      <c r="H49" s="192">
        <v>130022.56</v>
      </c>
      <c r="I49" s="218">
        <v>150052.59</v>
      </c>
      <c r="J49" s="218">
        <v>169583.2</v>
      </c>
      <c r="K49" s="209">
        <v>143169.89000000001</v>
      </c>
      <c r="L49" s="192">
        <v>150052.59</v>
      </c>
      <c r="M49" s="218">
        <v>151072.76999999999</v>
      </c>
      <c r="N49" s="218">
        <f>143169.89+151072.77</f>
        <v>294242.66000000003</v>
      </c>
      <c r="O49" s="192">
        <v>152294.97</v>
      </c>
      <c r="P49" s="192"/>
      <c r="Q49" s="192">
        <v>138426.07999999999</v>
      </c>
      <c r="R49" s="192">
        <f>152294.97+138426.08</f>
        <v>290721.05</v>
      </c>
      <c r="S49" s="202">
        <v>215723.79</v>
      </c>
      <c r="T49" s="192"/>
      <c r="U49" s="210">
        <v>134014.04</v>
      </c>
      <c r="V49" s="210">
        <f>245925.12+134014.04</f>
        <v>379939.16000000003</v>
      </c>
      <c r="W49" s="210">
        <v>144847.18</v>
      </c>
      <c r="X49" s="210"/>
      <c r="Y49" s="217">
        <v>147855.18</v>
      </c>
      <c r="Z49" s="210">
        <f>144847.18+147855.18</f>
        <v>292702.36</v>
      </c>
      <c r="AA49" s="230">
        <v>147933.01999999999</v>
      </c>
      <c r="AB49" s="125">
        <f t="shared" si="2"/>
        <v>123654.98000000001</v>
      </c>
      <c r="AC49" s="135">
        <v>123654.98</v>
      </c>
      <c r="AD49" s="141">
        <f t="shared" si="1"/>
        <v>0</v>
      </c>
      <c r="AE49" s="143"/>
      <c r="AF49" s="171"/>
    </row>
    <row r="50" spans="1:32" s="8" customFormat="1" x14ac:dyDescent="0.55000000000000004">
      <c r="A50" s="190" t="s">
        <v>67</v>
      </c>
      <c r="B50" s="97">
        <v>525258.08299999998</v>
      </c>
      <c r="C50" s="101">
        <v>0</v>
      </c>
      <c r="D50" s="218">
        <v>168930.1</v>
      </c>
      <c r="E50" s="218">
        <v>66062.289999999994</v>
      </c>
      <c r="F50" s="218">
        <f>73235.35+87006.36</f>
        <v>160241.71000000002</v>
      </c>
      <c r="G50" s="218">
        <v>71392.820000000007</v>
      </c>
      <c r="H50" s="192">
        <v>74487.070000000007</v>
      </c>
      <c r="I50" s="218">
        <v>71938.89</v>
      </c>
      <c r="J50" s="218"/>
      <c r="K50" s="209">
        <v>74959.98</v>
      </c>
      <c r="L50" s="192">
        <f>143331.8+66062.29+25102.81</f>
        <v>234496.89999999997</v>
      </c>
      <c r="M50" s="218">
        <v>82804.06</v>
      </c>
      <c r="N50" s="218"/>
      <c r="O50" s="192">
        <v>107956.31</v>
      </c>
      <c r="P50" s="192">
        <v>157764.04</v>
      </c>
      <c r="Q50" s="192">
        <v>97008.9</v>
      </c>
      <c r="R50" s="192"/>
      <c r="S50" s="202">
        <v>116625.73</v>
      </c>
      <c r="T50" s="192">
        <v>0</v>
      </c>
      <c r="U50" s="210">
        <v>82347.570000000007</v>
      </c>
      <c r="V50" s="210">
        <v>97008.9</v>
      </c>
      <c r="W50" s="210">
        <v>76714.69</v>
      </c>
      <c r="X50" s="210"/>
      <c r="Y50" s="217">
        <v>99565.09</v>
      </c>
      <c r="Z50" s="210"/>
      <c r="AA50" s="230">
        <v>132258.82999999999</v>
      </c>
      <c r="AB50" s="125">
        <f t="shared" si="2"/>
        <v>711964.52299999993</v>
      </c>
      <c r="AC50" s="160">
        <v>711964.52</v>
      </c>
      <c r="AD50" s="141">
        <f t="shared" si="1"/>
        <v>2.9999999096617103E-3</v>
      </c>
      <c r="AE50" s="136"/>
      <c r="AF50" s="171"/>
    </row>
    <row r="51" spans="1:32" s="8" customFormat="1" x14ac:dyDescent="0.55000000000000004">
      <c r="A51" s="190" t="s">
        <v>68</v>
      </c>
      <c r="B51" s="97">
        <v>307204.98</v>
      </c>
      <c r="C51" s="97"/>
      <c r="D51" s="218"/>
      <c r="E51" s="218">
        <v>176536.4</v>
      </c>
      <c r="F51" s="218"/>
      <c r="G51" s="218">
        <v>162170.54</v>
      </c>
      <c r="H51" s="192"/>
      <c r="I51" s="218">
        <v>228793.35</v>
      </c>
      <c r="J51" s="218"/>
      <c r="K51" s="209">
        <v>229008.4</v>
      </c>
      <c r="L51" s="192"/>
      <c r="M51" s="218">
        <v>230838.94</v>
      </c>
      <c r="N51" s="218"/>
      <c r="O51" s="192">
        <v>255453.86</v>
      </c>
      <c r="P51" s="192"/>
      <c r="Q51" s="192">
        <v>241407.42</v>
      </c>
      <c r="R51" s="192"/>
      <c r="S51" s="202">
        <v>240360.23</v>
      </c>
      <c r="T51" s="192"/>
      <c r="U51" s="210">
        <v>229326.03</v>
      </c>
      <c r="V51" s="210"/>
      <c r="W51" s="210">
        <v>181522.65</v>
      </c>
      <c r="X51" s="210"/>
      <c r="Y51" s="217">
        <v>253768.53</v>
      </c>
      <c r="Z51" s="210"/>
      <c r="AA51" s="230">
        <v>264209.34000000003</v>
      </c>
      <c r="AB51" s="125">
        <f t="shared" si="2"/>
        <v>3000600.669999999</v>
      </c>
      <c r="AC51" s="150">
        <f>184424.15+2816176.52</f>
        <v>3000600.67</v>
      </c>
      <c r="AD51" s="141">
        <f t="shared" si="1"/>
        <v>0</v>
      </c>
      <c r="AE51" s="136"/>
      <c r="AF51" s="171"/>
    </row>
    <row r="52" spans="1:32" s="8" customFormat="1" x14ac:dyDescent="0.55000000000000004">
      <c r="A52" s="190" t="s">
        <v>187</v>
      </c>
      <c r="B52" s="97">
        <v>612929.77</v>
      </c>
      <c r="C52" s="101"/>
      <c r="D52" s="218"/>
      <c r="E52" s="218">
        <v>28545.93</v>
      </c>
      <c r="F52" s="218">
        <v>0</v>
      </c>
      <c r="G52" s="218">
        <v>16732.93</v>
      </c>
      <c r="H52" s="192"/>
      <c r="I52" s="218">
        <v>16193.16</v>
      </c>
      <c r="J52" s="218"/>
      <c r="K52" s="209">
        <v>16732.93</v>
      </c>
      <c r="L52" s="192"/>
      <c r="M52" s="218">
        <v>18273.29</v>
      </c>
      <c r="N52" s="218"/>
      <c r="O52" s="192">
        <v>15867.42</v>
      </c>
      <c r="P52" s="192"/>
      <c r="Q52" s="192">
        <v>11683.96</v>
      </c>
      <c r="R52" s="192"/>
      <c r="S52" s="202">
        <v>13355.64</v>
      </c>
      <c r="T52" s="192"/>
      <c r="U52" s="210">
        <v>13794.19</v>
      </c>
      <c r="V52" s="210"/>
      <c r="W52" s="210">
        <v>12175.76</v>
      </c>
      <c r="X52" s="210"/>
      <c r="Y52" s="217">
        <v>14503.25</v>
      </c>
      <c r="Z52" s="210"/>
      <c r="AA52" s="230">
        <v>14102.59</v>
      </c>
      <c r="AB52" s="125">
        <f t="shared" si="2"/>
        <v>804890.82000000018</v>
      </c>
      <c r="AC52" s="135">
        <v>804890.82</v>
      </c>
      <c r="AD52" s="141">
        <f t="shared" si="1"/>
        <v>0</v>
      </c>
      <c r="AE52" s="136"/>
      <c r="AF52" s="171"/>
    </row>
    <row r="53" spans="1:32" s="8" customFormat="1" x14ac:dyDescent="0.55000000000000004">
      <c r="A53" s="190" t="s">
        <v>70</v>
      </c>
      <c r="B53" s="97">
        <v>419705.68</v>
      </c>
      <c r="C53" s="101"/>
      <c r="D53" s="218">
        <v>97535.87</v>
      </c>
      <c r="E53" s="218">
        <v>749771.36</v>
      </c>
      <c r="F53" s="218"/>
      <c r="G53" s="218">
        <v>141376.78</v>
      </c>
      <c r="H53" s="192"/>
      <c r="I53" s="218">
        <v>124012.15</v>
      </c>
      <c r="J53" s="218">
        <f>141376.78+749771.36+124012.15</f>
        <v>1015160.29</v>
      </c>
      <c r="K53" s="209">
        <v>282416.95</v>
      </c>
      <c r="L53" s="192">
        <v>621545.48</v>
      </c>
      <c r="M53" s="218">
        <v>88007.12</v>
      </c>
      <c r="N53" s="218">
        <v>282416.95</v>
      </c>
      <c r="O53" s="192">
        <v>161591.98000000001</v>
      </c>
      <c r="P53" s="192">
        <v>88007.12</v>
      </c>
      <c r="Q53" s="192">
        <v>78402.61</v>
      </c>
      <c r="R53" s="192">
        <v>161591.98000000001</v>
      </c>
      <c r="S53" s="202">
        <v>294020.47999999998</v>
      </c>
      <c r="T53" s="192">
        <v>78402.61</v>
      </c>
      <c r="U53" s="210">
        <v>99463.31</v>
      </c>
      <c r="V53" s="210">
        <v>294020.47999999998</v>
      </c>
      <c r="W53" s="210">
        <v>88534.41</v>
      </c>
      <c r="X53" s="210">
        <v>99463.31</v>
      </c>
      <c r="Y53" s="217">
        <v>115907.05</v>
      </c>
      <c r="Z53" s="210">
        <f>88534.41+115907.05</f>
        <v>204441.46000000002</v>
      </c>
      <c r="AA53" s="230">
        <v>233374.39</v>
      </c>
      <c r="AB53" s="125">
        <f t="shared" si="2"/>
        <v>-66001.280000000203</v>
      </c>
      <c r="AC53" s="135">
        <v>-66001.279999999999</v>
      </c>
      <c r="AD53" s="141">
        <f t="shared" si="1"/>
        <v>-2.0372681319713593E-10</v>
      </c>
      <c r="AE53" s="278"/>
      <c r="AF53" s="171"/>
    </row>
    <row r="54" spans="1:32" s="8" customFormat="1" x14ac:dyDescent="0.55000000000000004">
      <c r="A54" s="190" t="s">
        <v>71</v>
      </c>
      <c r="B54" s="97">
        <v>616900.32999999996</v>
      </c>
      <c r="C54" s="101"/>
      <c r="D54" s="218"/>
      <c r="E54" s="218">
        <v>44593.25</v>
      </c>
      <c r="F54" s="218"/>
      <c r="G54" s="218">
        <v>45355.02</v>
      </c>
      <c r="H54" s="192"/>
      <c r="I54" s="218">
        <v>38649.81</v>
      </c>
      <c r="J54" s="218">
        <v>44593.25</v>
      </c>
      <c r="K54" s="209">
        <v>40527.730000000003</v>
      </c>
      <c r="L54" s="192">
        <f>215000.1+45355.02</f>
        <v>260355.12</v>
      </c>
      <c r="M54" s="218">
        <v>43193.37</v>
      </c>
      <c r="N54" s="218">
        <v>135005.09</v>
      </c>
      <c r="O54" s="192">
        <v>42727.07</v>
      </c>
      <c r="P54" s="192"/>
      <c r="Q54" s="192">
        <v>41315.379999999997</v>
      </c>
      <c r="R54" s="192">
        <v>42727.07</v>
      </c>
      <c r="S54" s="202">
        <v>51113.16</v>
      </c>
      <c r="T54" s="192">
        <f>41315.38+44593.25</f>
        <v>85908.63</v>
      </c>
      <c r="U54" s="210">
        <v>40266.31</v>
      </c>
      <c r="V54" s="210"/>
      <c r="W54" s="210">
        <v>38980.9</v>
      </c>
      <c r="X54" s="210"/>
      <c r="Y54" s="217">
        <v>40410</v>
      </c>
      <c r="Z54" s="210">
        <v>130360.37</v>
      </c>
      <c r="AA54" s="230">
        <v>59350.080000000002</v>
      </c>
      <c r="AB54" s="125">
        <f t="shared" si="2"/>
        <v>444432.88</v>
      </c>
      <c r="AC54" s="135">
        <v>444432.88</v>
      </c>
      <c r="AD54" s="141">
        <f t="shared" si="1"/>
        <v>0</v>
      </c>
      <c r="AE54" s="136"/>
      <c r="AF54" s="171"/>
    </row>
    <row r="55" spans="1:32" s="8" customFormat="1" x14ac:dyDescent="0.55000000000000004">
      <c r="A55" s="190" t="s">
        <v>72</v>
      </c>
      <c r="B55" s="97">
        <v>56708.78</v>
      </c>
      <c r="C55" s="101"/>
      <c r="D55" s="218">
        <f>37563.22+41038.49</f>
        <v>78601.709999999992</v>
      </c>
      <c r="E55" s="218">
        <v>38200.050000000003</v>
      </c>
      <c r="F55" s="218"/>
      <c r="G55" s="218">
        <v>37265.919999999998</v>
      </c>
      <c r="H55" s="192">
        <v>75465.97</v>
      </c>
      <c r="I55" s="218">
        <v>42065.75</v>
      </c>
      <c r="J55" s="218">
        <v>42065.75</v>
      </c>
      <c r="K55" s="209">
        <v>36927.339999999997</v>
      </c>
      <c r="L55" s="192">
        <v>36927.300000000003</v>
      </c>
      <c r="M55" s="218">
        <v>39847.22</v>
      </c>
      <c r="N55" s="218">
        <v>39847.22</v>
      </c>
      <c r="O55" s="192">
        <v>52476.04</v>
      </c>
      <c r="P55" s="192">
        <v>52476.04</v>
      </c>
      <c r="Q55" s="192">
        <v>47121.93</v>
      </c>
      <c r="R55" s="192"/>
      <c r="S55" s="202">
        <v>35714.47</v>
      </c>
      <c r="T55" s="192">
        <v>47121.97</v>
      </c>
      <c r="U55" s="210">
        <v>65444.79</v>
      </c>
      <c r="V55" s="210">
        <v>65444.79</v>
      </c>
      <c r="W55" s="210">
        <v>35287.83</v>
      </c>
      <c r="X55" s="210">
        <v>35287.83</v>
      </c>
      <c r="Y55" s="217">
        <v>100516.73</v>
      </c>
      <c r="Z55" s="210">
        <v>100516.73</v>
      </c>
      <c r="AA55" s="230">
        <v>52827.23</v>
      </c>
      <c r="AB55" s="125">
        <f t="shared" si="2"/>
        <v>66648.76999999999</v>
      </c>
      <c r="AC55" s="135">
        <v>66648.77</v>
      </c>
      <c r="AD55" s="141">
        <f t="shared" si="1"/>
        <v>0</v>
      </c>
      <c r="AE55" s="136"/>
      <c r="AF55" s="171"/>
    </row>
    <row r="56" spans="1:32" s="8" customFormat="1" x14ac:dyDescent="0.55000000000000004">
      <c r="A56" s="190" t="s">
        <v>73</v>
      </c>
      <c r="B56" s="97">
        <v>337589.2</v>
      </c>
      <c r="C56" s="101"/>
      <c r="D56" s="218"/>
      <c r="E56" s="218">
        <v>247767.78</v>
      </c>
      <c r="F56" s="218">
        <v>322220.26</v>
      </c>
      <c r="G56" s="218">
        <v>238295.36</v>
      </c>
      <c r="H56" s="192">
        <v>247767.78</v>
      </c>
      <c r="I56" s="218">
        <v>234420.72</v>
      </c>
      <c r="J56" s="218">
        <v>238295.36</v>
      </c>
      <c r="K56" s="209">
        <v>232707.74</v>
      </c>
      <c r="L56" s="192"/>
      <c r="M56" s="218">
        <v>273254.26</v>
      </c>
      <c r="N56" s="218">
        <v>234420.72</v>
      </c>
      <c r="O56" s="192">
        <v>231337.95</v>
      </c>
      <c r="P56" s="192">
        <f>232707.74+273254.26</f>
        <v>505962</v>
      </c>
      <c r="Q56" s="192">
        <v>271479.03999999998</v>
      </c>
      <c r="R56" s="192">
        <f>231337.95</f>
        <v>231337.95</v>
      </c>
      <c r="S56" s="202">
        <v>242830.24</v>
      </c>
      <c r="T56" s="192">
        <v>252051.04</v>
      </c>
      <c r="U56" s="210">
        <v>235911.99</v>
      </c>
      <c r="V56" s="210">
        <v>242830.24</v>
      </c>
      <c r="W56" s="210">
        <v>274492.81</v>
      </c>
      <c r="X56" s="210">
        <v>235911.99</v>
      </c>
      <c r="Y56" s="217">
        <v>285937.06</v>
      </c>
      <c r="Z56" s="210">
        <f>232209.51+285937.06</f>
        <v>518146.57</v>
      </c>
      <c r="AA56" s="230">
        <v>284796.71999999997</v>
      </c>
      <c r="AB56" s="125">
        <f t="shared" si="2"/>
        <v>361876.95999999979</v>
      </c>
      <c r="AC56" s="135">
        <v>361876.96</v>
      </c>
      <c r="AD56" s="141">
        <f t="shared" si="1"/>
        <v>0</v>
      </c>
      <c r="AE56" s="136"/>
      <c r="AF56" s="171"/>
    </row>
    <row r="57" spans="1:32" s="8" customFormat="1" x14ac:dyDescent="0.55000000000000004">
      <c r="A57" s="190" t="s">
        <v>74</v>
      </c>
      <c r="B57" s="97">
        <v>48714.86</v>
      </c>
      <c r="C57" s="101">
        <v>461.45</v>
      </c>
      <c r="D57" s="218"/>
      <c r="E57" s="218">
        <v>43958.13</v>
      </c>
      <c r="F57" s="218">
        <v>57558.9</v>
      </c>
      <c r="G57" s="218">
        <v>67532.259999999995</v>
      </c>
      <c r="H57" s="192">
        <f>67532.26+43958.13</f>
        <v>111490.38999999998</v>
      </c>
      <c r="I57" s="218">
        <v>70621.47</v>
      </c>
      <c r="J57" s="218"/>
      <c r="K57" s="209">
        <v>66444.929999999993</v>
      </c>
      <c r="L57" s="192">
        <f>70621.47+66444.93</f>
        <v>137066.4</v>
      </c>
      <c r="M57" s="218">
        <v>67284.800000000003</v>
      </c>
      <c r="N57" s="218"/>
      <c r="O57" s="192">
        <v>69859.679999999993</v>
      </c>
      <c r="P57" s="192">
        <f>67284.8+69859.68</f>
        <v>137144.47999999998</v>
      </c>
      <c r="Q57" s="192">
        <v>75084.14</v>
      </c>
      <c r="R57" s="192">
        <v>75084.14</v>
      </c>
      <c r="S57" s="202">
        <v>70648.160000000003</v>
      </c>
      <c r="T57" s="192">
        <v>70648.160000000003</v>
      </c>
      <c r="U57" s="210">
        <v>67877.95</v>
      </c>
      <c r="V57" s="210"/>
      <c r="W57" s="210">
        <v>50944.24</v>
      </c>
      <c r="X57" s="210">
        <v>67877.95</v>
      </c>
      <c r="Y57" s="217">
        <v>59645.74</v>
      </c>
      <c r="Z57" s="210">
        <f>50944.24+59645.74</f>
        <v>110589.98</v>
      </c>
      <c r="AA57" s="230">
        <v>72763.67</v>
      </c>
      <c r="AB57" s="125">
        <f t="shared" si="2"/>
        <v>64381.080000000016</v>
      </c>
      <c r="AC57" s="135">
        <v>64381.08</v>
      </c>
      <c r="AD57" s="141">
        <f t="shared" si="1"/>
        <v>0</v>
      </c>
      <c r="AE57" s="136"/>
      <c r="AF57" s="171"/>
    </row>
    <row r="58" spans="1:32" s="8" customFormat="1" x14ac:dyDescent="0.55000000000000004">
      <c r="A58" s="190" t="s">
        <v>75</v>
      </c>
      <c r="B58" s="97">
        <v>453614.82</v>
      </c>
      <c r="C58" s="101">
        <v>0</v>
      </c>
      <c r="D58" s="218">
        <f>193347.11+87131.62+94812.04</f>
        <v>375290.76999999996</v>
      </c>
      <c r="E58" s="218">
        <v>79247.89</v>
      </c>
      <c r="F58" s="218"/>
      <c r="G58" s="218">
        <v>84402.43</v>
      </c>
      <c r="H58" s="192">
        <v>240424.32000000001</v>
      </c>
      <c r="I58" s="218">
        <v>113391.45</v>
      </c>
      <c r="J58" s="218"/>
      <c r="K58" s="209">
        <v>93554.99</v>
      </c>
      <c r="L58" s="192">
        <v>113391.45</v>
      </c>
      <c r="M58" s="218">
        <v>94279.15</v>
      </c>
      <c r="N58" s="218">
        <v>93554.99</v>
      </c>
      <c r="O58" s="192">
        <v>109486.88</v>
      </c>
      <c r="P58" s="192">
        <v>94279.15</v>
      </c>
      <c r="Q58" s="192">
        <v>97578.83</v>
      </c>
      <c r="R58" s="192">
        <v>109486.88</v>
      </c>
      <c r="S58" s="202">
        <v>96689.88</v>
      </c>
      <c r="T58" s="192"/>
      <c r="U58" s="210">
        <v>97849.24</v>
      </c>
      <c r="V58" s="210">
        <f>97578.83+96689.82+0.06</f>
        <v>194268.71000000002</v>
      </c>
      <c r="W58" s="210">
        <v>142711.16</v>
      </c>
      <c r="X58" s="210">
        <f>97849.24+142711.16</f>
        <v>240560.40000000002</v>
      </c>
      <c r="Y58" s="217">
        <v>93097.78</v>
      </c>
      <c r="Z58" s="210"/>
      <c r="AA58" s="230">
        <v>163985.91</v>
      </c>
      <c r="AB58" s="125">
        <f t="shared" si="2"/>
        <v>258633.74000000002</v>
      </c>
      <c r="AC58" s="152">
        <v>258633.74</v>
      </c>
      <c r="AD58" s="141">
        <f t="shared" si="1"/>
        <v>0</v>
      </c>
      <c r="AE58" s="136"/>
      <c r="AF58" s="171"/>
    </row>
    <row r="59" spans="1:32" s="8" customFormat="1" x14ac:dyDescent="0.55000000000000004">
      <c r="A59" s="190" t="s">
        <v>76</v>
      </c>
      <c r="B59" s="97">
        <v>482193.2</v>
      </c>
      <c r="C59" s="101"/>
      <c r="D59" s="218"/>
      <c r="E59" s="218">
        <v>18228.68</v>
      </c>
      <c r="F59" s="218"/>
      <c r="G59" s="218">
        <v>18836.310000000001</v>
      </c>
      <c r="H59" s="192">
        <v>26444.92</v>
      </c>
      <c r="I59" s="218">
        <v>18228.68</v>
      </c>
      <c r="J59" s="218"/>
      <c r="K59" s="209">
        <v>18836.310000000001</v>
      </c>
      <c r="L59" s="192"/>
      <c r="M59" s="218">
        <v>18836.310000000001</v>
      </c>
      <c r="N59" s="218"/>
      <c r="O59" s="192">
        <v>18228.68</v>
      </c>
      <c r="P59" s="192"/>
      <c r="Q59" s="192">
        <v>18228.68</v>
      </c>
      <c r="R59" s="192"/>
      <c r="S59" s="192"/>
      <c r="T59" s="192"/>
      <c r="U59" s="192"/>
      <c r="V59" s="192">
        <v>97528.65</v>
      </c>
      <c r="W59" s="192">
        <v>0</v>
      </c>
      <c r="X59" s="192">
        <v>97528.65</v>
      </c>
      <c r="Y59" s="218">
        <v>0</v>
      </c>
      <c r="Z59" s="192">
        <v>97528.65</v>
      </c>
      <c r="AA59" s="112">
        <v>0</v>
      </c>
      <c r="AB59" s="125">
        <f t="shared" si="2"/>
        <v>292585.9800000001</v>
      </c>
      <c r="AC59" s="152">
        <v>292585.98</v>
      </c>
      <c r="AD59" s="141">
        <f t="shared" si="1"/>
        <v>0</v>
      </c>
      <c r="AE59" s="136"/>
      <c r="AF59" s="171"/>
    </row>
    <row r="60" spans="1:32" s="8" customFormat="1" x14ac:dyDescent="0.55000000000000004">
      <c r="A60" s="190" t="s">
        <v>77</v>
      </c>
      <c r="B60" s="103">
        <v>232633.62</v>
      </c>
      <c r="C60" s="101"/>
      <c r="D60" s="218"/>
      <c r="E60" s="218">
        <f>1403.5+36810.37+10272.12</f>
        <v>48485.990000000005</v>
      </c>
      <c r="F60" s="218"/>
      <c r="G60" s="218">
        <v>-24540.240000000002</v>
      </c>
      <c r="H60" s="192">
        <v>0</v>
      </c>
      <c r="I60" s="218">
        <v>0</v>
      </c>
      <c r="J60" s="218"/>
      <c r="K60" s="209"/>
      <c r="L60" s="192"/>
      <c r="M60" s="218">
        <v>0</v>
      </c>
      <c r="N60" s="218"/>
      <c r="O60" s="192">
        <v>6157.24</v>
      </c>
      <c r="P60" s="192"/>
      <c r="Q60" s="192">
        <v>3078.62</v>
      </c>
      <c r="R60" s="192"/>
      <c r="S60" s="192"/>
      <c r="T60" s="192"/>
      <c r="U60" s="192"/>
      <c r="V60" s="192"/>
      <c r="W60" s="192">
        <v>0</v>
      </c>
      <c r="X60" s="192"/>
      <c r="Y60" s="218">
        <v>0</v>
      </c>
      <c r="Z60" s="192"/>
      <c r="AA60" s="112">
        <v>0</v>
      </c>
      <c r="AB60" s="125">
        <f t="shared" si="2"/>
        <v>265815.23</v>
      </c>
      <c r="AC60" s="135">
        <f>AB60+AA60+Z60+Y60+X60+W60+V60</f>
        <v>265815.23</v>
      </c>
      <c r="AD60" s="141">
        <f t="shared" si="1"/>
        <v>0</v>
      </c>
      <c r="AE60" s="136"/>
      <c r="AF60" s="171"/>
    </row>
    <row r="61" spans="1:32" s="8" customFormat="1" x14ac:dyDescent="0.55000000000000004">
      <c r="A61" s="190" t="s">
        <v>78</v>
      </c>
      <c r="B61" s="97">
        <v>471246.52</v>
      </c>
      <c r="C61" s="97"/>
      <c r="D61" s="218"/>
      <c r="E61" s="218">
        <v>0</v>
      </c>
      <c r="F61" s="218"/>
      <c r="G61" s="218"/>
      <c r="H61" s="192"/>
      <c r="I61" s="218">
        <v>0</v>
      </c>
      <c r="J61" s="218"/>
      <c r="K61" s="209"/>
      <c r="L61" s="192"/>
      <c r="M61" s="218">
        <v>0</v>
      </c>
      <c r="N61" s="218"/>
      <c r="O61" s="192">
        <v>0</v>
      </c>
      <c r="P61" s="192"/>
      <c r="Q61" s="192"/>
      <c r="R61" s="192"/>
      <c r="S61" s="192"/>
      <c r="T61" s="192"/>
      <c r="U61" s="192"/>
      <c r="V61" s="192"/>
      <c r="W61" s="192">
        <v>0</v>
      </c>
      <c r="X61" s="192"/>
      <c r="Y61" s="218">
        <v>0</v>
      </c>
      <c r="Z61" s="192"/>
      <c r="AA61" s="112">
        <v>0</v>
      </c>
      <c r="AB61" s="125">
        <f t="shared" si="2"/>
        <v>471246.52</v>
      </c>
      <c r="AC61" s="152">
        <f>AB61+AA61+Z61+Y61+X61+W61+V61</f>
        <v>471246.52</v>
      </c>
      <c r="AD61" s="141">
        <f t="shared" si="1"/>
        <v>0</v>
      </c>
      <c r="AE61" s="136"/>
      <c r="AF61" s="171"/>
    </row>
    <row r="62" spans="1:32" s="8" customFormat="1" x14ac:dyDescent="0.55000000000000004">
      <c r="A62" s="190" t="s">
        <v>79</v>
      </c>
      <c r="B62" s="97">
        <v>105951.84</v>
      </c>
      <c r="C62" s="101"/>
      <c r="D62" s="218"/>
      <c r="E62" s="218">
        <f>7164.68+330.47</f>
        <v>7495.1500000000005</v>
      </c>
      <c r="F62" s="218"/>
      <c r="G62" s="218">
        <v>7590.76</v>
      </c>
      <c r="H62" s="192"/>
      <c r="I62" s="218">
        <v>7164.68</v>
      </c>
      <c r="J62" s="218"/>
      <c r="K62" s="209">
        <v>7403.5</v>
      </c>
      <c r="L62" s="192"/>
      <c r="M62" s="218">
        <v>7403.5</v>
      </c>
      <c r="N62" s="218"/>
      <c r="O62" s="192">
        <v>7164.68</v>
      </c>
      <c r="P62" s="192"/>
      <c r="Q62" s="192">
        <v>7403.5</v>
      </c>
      <c r="R62" s="192"/>
      <c r="S62" s="202">
        <v>7164.68</v>
      </c>
      <c r="T62" s="192"/>
      <c r="U62" s="210">
        <v>7403.5</v>
      </c>
      <c r="V62" s="210"/>
      <c r="W62" s="210">
        <v>7403.5</v>
      </c>
      <c r="X62" s="210"/>
      <c r="Y62" s="217">
        <v>3104.69</v>
      </c>
      <c r="Z62" s="210">
        <v>0</v>
      </c>
      <c r="AA62" s="230">
        <v>0</v>
      </c>
      <c r="AB62" s="125">
        <f t="shared" si="2"/>
        <v>182653.97999999998</v>
      </c>
      <c r="AC62" s="152">
        <v>182653.98</v>
      </c>
      <c r="AD62" s="141">
        <f t="shared" si="1"/>
        <v>0</v>
      </c>
      <c r="AE62" s="136"/>
      <c r="AF62" s="171"/>
    </row>
    <row r="63" spans="1:32" s="8" customFormat="1" x14ac:dyDescent="0.55000000000000004">
      <c r="A63" s="190" t="s">
        <v>188</v>
      </c>
      <c r="B63" s="97"/>
      <c r="C63" s="97"/>
      <c r="D63" s="218"/>
      <c r="E63" s="218">
        <v>395.97</v>
      </c>
      <c r="F63" s="218"/>
      <c r="G63" s="218">
        <v>0</v>
      </c>
      <c r="H63" s="192"/>
      <c r="I63" s="218">
        <v>0</v>
      </c>
      <c r="J63" s="218"/>
      <c r="K63" s="209"/>
      <c r="L63" s="192"/>
      <c r="M63" s="218">
        <v>0</v>
      </c>
      <c r="N63" s="218"/>
      <c r="O63" s="192">
        <v>0</v>
      </c>
      <c r="P63" s="192"/>
      <c r="Q63" s="192"/>
      <c r="R63" s="192"/>
      <c r="S63" s="192"/>
      <c r="T63" s="192"/>
      <c r="U63" s="192"/>
      <c r="V63" s="192"/>
      <c r="W63" s="192"/>
      <c r="X63" s="192"/>
      <c r="Y63" s="218">
        <v>0</v>
      </c>
      <c r="Z63" s="192"/>
      <c r="AA63" s="112">
        <v>0</v>
      </c>
      <c r="AB63" s="125">
        <f t="shared" si="2"/>
        <v>395.97</v>
      </c>
      <c r="AC63" s="152">
        <f>AB63+AA63+Z63+Y63+X63+W63+V63</f>
        <v>395.97</v>
      </c>
      <c r="AD63" s="141"/>
      <c r="AE63" s="136"/>
      <c r="AF63" s="171"/>
    </row>
    <row r="64" spans="1:32" s="8" customFormat="1" x14ac:dyDescent="0.55000000000000004">
      <c r="A64" s="190" t="s">
        <v>80</v>
      </c>
      <c r="B64" s="97">
        <v>5516.97</v>
      </c>
      <c r="C64" s="101"/>
      <c r="D64" s="218">
        <v>4489.93</v>
      </c>
      <c r="E64" s="218">
        <v>4644.76</v>
      </c>
      <c r="F64" s="218">
        <v>5489.33</v>
      </c>
      <c r="G64" s="218">
        <v>4799.58</v>
      </c>
      <c r="H64" s="192">
        <v>4644.76</v>
      </c>
      <c r="I64" s="218">
        <v>5348.18</v>
      </c>
      <c r="J64" s="218">
        <v>4799.58</v>
      </c>
      <c r="K64" s="209">
        <v>5436.08</v>
      </c>
      <c r="L64" s="192">
        <v>5348.18</v>
      </c>
      <c r="M64" s="218">
        <v>4799.58</v>
      </c>
      <c r="N64" s="218">
        <f>5436.08+4799.58</f>
        <v>10235.66</v>
      </c>
      <c r="O64" s="192">
        <v>5187.6099999999997</v>
      </c>
      <c r="P64" s="192"/>
      <c r="Q64" s="192">
        <v>5337.99</v>
      </c>
      <c r="R64" s="192">
        <f>5187.61+5337.99</f>
        <v>10525.599999999999</v>
      </c>
      <c r="S64" s="202">
        <v>5803.91</v>
      </c>
      <c r="T64" s="192"/>
      <c r="U64" s="210">
        <v>6167.73</v>
      </c>
      <c r="V64" s="210">
        <v>6167.73</v>
      </c>
      <c r="W64" s="210">
        <v>5209.53</v>
      </c>
      <c r="X64" s="210">
        <v>5209.53</v>
      </c>
      <c r="Y64" s="217">
        <v>5709.5559999999996</v>
      </c>
      <c r="Z64" s="210">
        <v>5709.56</v>
      </c>
      <c r="AA64" s="230">
        <v>7030.91</v>
      </c>
      <c r="AB64" s="125">
        <f t="shared" si="2"/>
        <v>8372.5259999999998</v>
      </c>
      <c r="AC64" s="135">
        <v>8372.5300000000007</v>
      </c>
      <c r="AD64" s="141"/>
      <c r="AE64" s="136"/>
      <c r="AF64" s="171"/>
    </row>
    <row r="65" spans="1:32" s="8" customFormat="1" x14ac:dyDescent="0.55000000000000004">
      <c r="A65" s="190" t="s">
        <v>81</v>
      </c>
      <c r="B65" s="99">
        <v>140286.85</v>
      </c>
      <c r="C65" s="101"/>
      <c r="D65" s="218">
        <v>45688.52</v>
      </c>
      <c r="E65" s="218">
        <v>40073.370000000003</v>
      </c>
      <c r="F65" s="218"/>
      <c r="G65" s="218">
        <v>43141.65</v>
      </c>
      <c r="H65" s="192">
        <f>43141.65+40073.373</f>
        <v>83215.023000000001</v>
      </c>
      <c r="I65" s="218">
        <v>45362.34</v>
      </c>
      <c r="J65" s="218"/>
      <c r="K65" s="209">
        <v>45372.39</v>
      </c>
      <c r="L65" s="192">
        <v>45372.39</v>
      </c>
      <c r="M65" s="218">
        <v>43607.24</v>
      </c>
      <c r="N65" s="218"/>
      <c r="O65" s="192">
        <v>45146.68</v>
      </c>
      <c r="P65" s="192">
        <v>43607.24</v>
      </c>
      <c r="Q65" s="192">
        <v>47755.44</v>
      </c>
      <c r="R65" s="192">
        <v>92902.13</v>
      </c>
      <c r="S65" s="202">
        <v>46300.5</v>
      </c>
      <c r="T65" s="192"/>
      <c r="U65" s="210">
        <v>66314.58</v>
      </c>
      <c r="V65" s="210">
        <v>111899.08</v>
      </c>
      <c r="W65" s="210">
        <v>48289.8</v>
      </c>
      <c r="X65" s="210"/>
      <c r="Y65" s="217">
        <v>45103.05</v>
      </c>
      <c r="Z65" s="210">
        <v>93392.85</v>
      </c>
      <c r="AA65" s="230">
        <v>46924.75</v>
      </c>
      <c r="AB65" s="125">
        <f t="shared" si="2"/>
        <v>187601.40699999998</v>
      </c>
      <c r="AC65" s="135">
        <v>187601.41</v>
      </c>
      <c r="AD65" s="141"/>
      <c r="AE65" s="136"/>
      <c r="AF65" s="171"/>
    </row>
    <row r="66" spans="1:32" s="8" customFormat="1" x14ac:dyDescent="0.55000000000000004">
      <c r="A66" s="190" t="s">
        <v>82</v>
      </c>
      <c r="B66" s="97">
        <v>52641.760000000002</v>
      </c>
      <c r="C66" s="101"/>
      <c r="D66" s="218"/>
      <c r="E66" s="218">
        <v>0</v>
      </c>
      <c r="F66" s="218"/>
      <c r="G66" s="218"/>
      <c r="H66" s="192"/>
      <c r="I66" s="218">
        <v>0</v>
      </c>
      <c r="J66" s="218"/>
      <c r="K66" s="209"/>
      <c r="L66" s="192"/>
      <c r="M66" s="218">
        <v>0</v>
      </c>
      <c r="N66" s="218"/>
      <c r="O66" s="192">
        <v>0</v>
      </c>
      <c r="P66" s="192"/>
      <c r="Q66" s="192"/>
      <c r="R66" s="192"/>
      <c r="S66" s="202">
        <v>14191.73</v>
      </c>
      <c r="T66" s="192"/>
      <c r="U66" s="192"/>
      <c r="V66" s="192"/>
      <c r="W66" s="192">
        <v>7551.57</v>
      </c>
      <c r="X66" s="192"/>
      <c r="Y66" s="218">
        <v>2794.61</v>
      </c>
      <c r="Z66" s="192"/>
      <c r="AA66" s="112">
        <v>2180.2199999999998</v>
      </c>
      <c r="AB66" s="125">
        <f t="shared" si="2"/>
        <v>79359.89</v>
      </c>
      <c r="AC66" s="135">
        <v>79359.89</v>
      </c>
      <c r="AD66" s="141">
        <f t="shared" si="1"/>
        <v>0</v>
      </c>
      <c r="AE66" s="136"/>
      <c r="AF66" s="171"/>
    </row>
    <row r="67" spans="1:32" s="8" customFormat="1" x14ac:dyDescent="0.55000000000000004">
      <c r="A67" s="190" t="s">
        <v>83</v>
      </c>
      <c r="B67" s="97">
        <v>6491.1</v>
      </c>
      <c r="C67" s="101"/>
      <c r="D67" s="218">
        <v>0</v>
      </c>
      <c r="E67" s="218">
        <v>64342.95</v>
      </c>
      <c r="F67" s="218">
        <v>0</v>
      </c>
      <c r="G67" s="218">
        <v>67271.600000000006</v>
      </c>
      <c r="H67" s="192">
        <v>147019.64000000001</v>
      </c>
      <c r="I67" s="218">
        <v>65560.78</v>
      </c>
      <c r="J67" s="218">
        <f>67271.6+65560.78</f>
        <v>132832.38</v>
      </c>
      <c r="K67" s="209">
        <v>67125.399999999994</v>
      </c>
      <c r="L67" s="192"/>
      <c r="M67" s="218">
        <v>74494.36</v>
      </c>
      <c r="N67" s="218">
        <v>141619.76</v>
      </c>
      <c r="O67" s="192">
        <v>76656.070000000007</v>
      </c>
      <c r="P67" s="192">
        <f>76656.07</f>
        <v>76656.070000000007</v>
      </c>
      <c r="Q67" s="192">
        <v>31371.24</v>
      </c>
      <c r="R67" s="192">
        <v>31371.24</v>
      </c>
      <c r="S67" s="202">
        <v>29267.68</v>
      </c>
      <c r="T67" s="192"/>
      <c r="U67" s="210">
        <v>29845.69</v>
      </c>
      <c r="V67" s="210"/>
      <c r="W67" s="210">
        <v>-177788.19</v>
      </c>
      <c r="X67" s="210"/>
      <c r="Y67" s="217">
        <v>28610.12</v>
      </c>
      <c r="Z67" s="210"/>
      <c r="AA67" s="230">
        <v>30191.599999999999</v>
      </c>
      <c r="AB67" s="125">
        <f t="shared" si="2"/>
        <v>-136058.69</v>
      </c>
      <c r="AC67" s="135">
        <v>-136058.69</v>
      </c>
      <c r="AD67" s="141">
        <f t="shared" si="1"/>
        <v>0</v>
      </c>
      <c r="AE67" s="136"/>
      <c r="AF67" s="171"/>
    </row>
    <row r="68" spans="1:32" s="8" customFormat="1" x14ac:dyDescent="0.55000000000000004">
      <c r="A68" s="279" t="s">
        <v>84</v>
      </c>
      <c r="B68" s="280">
        <v>215724.6</v>
      </c>
      <c r="C68" s="281"/>
      <c r="D68" s="282"/>
      <c r="E68" s="282">
        <v>262225.07</v>
      </c>
      <c r="F68" s="282">
        <v>284677.62</v>
      </c>
      <c r="G68" s="282">
        <v>276939.53999999998</v>
      </c>
      <c r="H68" s="282">
        <v>262225.07</v>
      </c>
      <c r="I68" s="282">
        <v>268955.48</v>
      </c>
      <c r="J68" s="282">
        <v>211164</v>
      </c>
      <c r="K68" s="283">
        <v>137051.35999999999</v>
      </c>
      <c r="L68" s="282">
        <v>265778.2</v>
      </c>
      <c r="M68" s="282">
        <v>141543.04000000001</v>
      </c>
      <c r="N68" s="282"/>
      <c r="O68" s="282">
        <v>135417.15</v>
      </c>
      <c r="P68" s="282"/>
      <c r="Q68" s="282">
        <v>138559.31</v>
      </c>
      <c r="R68" s="282"/>
      <c r="S68" s="284">
        <v>137172.12</v>
      </c>
      <c r="T68" s="282"/>
      <c r="U68" s="285">
        <v>73790.929999999993</v>
      </c>
      <c r="V68" s="285"/>
      <c r="W68" s="285">
        <v>269393.43</v>
      </c>
      <c r="X68" s="285"/>
      <c r="Y68" s="285">
        <v>1260303.3500000001</v>
      </c>
      <c r="Z68" s="285">
        <f>269393.43+876061.59+275187.04+872588.63</f>
        <v>2293230.69</v>
      </c>
      <c r="AA68" s="286">
        <v>298811.01</v>
      </c>
      <c r="AB68" s="287">
        <f t="shared" si="2"/>
        <v>298810.81000000029</v>
      </c>
      <c r="AC68" s="288">
        <v>298810.81</v>
      </c>
      <c r="AD68" s="141">
        <f t="shared" si="1"/>
        <v>0</v>
      </c>
      <c r="AE68" s="143" t="e">
        <f>AC68-#REF!</f>
        <v>#REF!</v>
      </c>
      <c r="AF68" s="171"/>
    </row>
    <row r="69" spans="1:32" s="8" customFormat="1" x14ac:dyDescent="0.55000000000000004">
      <c r="A69" s="279" t="s">
        <v>85</v>
      </c>
      <c r="B69" s="280">
        <v>871811.32</v>
      </c>
      <c r="C69" s="281"/>
      <c r="D69" s="282">
        <f>501023.53+430317.21</f>
        <v>931340.74</v>
      </c>
      <c r="E69" s="282">
        <v>373025.54</v>
      </c>
      <c r="F69" s="282">
        <v>373025.54</v>
      </c>
      <c r="G69" s="282">
        <v>397342.45</v>
      </c>
      <c r="H69" s="282"/>
      <c r="I69" s="282">
        <v>424750.3</v>
      </c>
      <c r="J69" s="282">
        <f>397342.45+424750.3</f>
        <v>822092.75</v>
      </c>
      <c r="K69" s="283">
        <v>196220.07</v>
      </c>
      <c r="L69" s="282"/>
      <c r="M69" s="282">
        <v>128051.01</v>
      </c>
      <c r="N69" s="282"/>
      <c r="O69" s="282">
        <v>120284.67</v>
      </c>
      <c r="P69" s="282">
        <f>128051.01+120284.67+196220.07</f>
        <v>444555.75</v>
      </c>
      <c r="Q69" s="282">
        <v>147000.88</v>
      </c>
      <c r="R69" s="282">
        <v>147000.88</v>
      </c>
      <c r="S69" s="284">
        <v>140134.39999999999</v>
      </c>
      <c r="T69" s="282"/>
      <c r="U69" s="285">
        <v>111486.27</v>
      </c>
      <c r="V69" s="285"/>
      <c r="W69" s="285">
        <v>1992298.35</v>
      </c>
      <c r="X69" s="285"/>
      <c r="Y69" s="285">
        <v>420814.93</v>
      </c>
      <c r="Z69" s="285">
        <v>672435.6</v>
      </c>
      <c r="AA69" s="286">
        <v>441708.32</v>
      </c>
      <c r="AB69" s="287">
        <f t="shared" si="2"/>
        <v>2374477.25</v>
      </c>
      <c r="AC69" s="289">
        <v>2374477.25</v>
      </c>
      <c r="AD69" s="141">
        <f t="shared" si="1"/>
        <v>0</v>
      </c>
      <c r="AE69" s="143" t="e">
        <f>AC69-#REF!</f>
        <v>#REF!</v>
      </c>
      <c r="AF69" s="171"/>
    </row>
    <row r="70" spans="1:32" s="8" customFormat="1" x14ac:dyDescent="0.55000000000000004">
      <c r="A70" s="279" t="s">
        <v>86</v>
      </c>
      <c r="B70" s="280">
        <v>1374412.94</v>
      </c>
      <c r="C70" s="281"/>
      <c r="D70" s="282"/>
      <c r="E70" s="282">
        <v>486642.95</v>
      </c>
      <c r="F70" s="282"/>
      <c r="G70" s="282">
        <v>538272.27</v>
      </c>
      <c r="H70" s="282"/>
      <c r="I70" s="282">
        <v>527272.97</v>
      </c>
      <c r="J70" s="282">
        <f>486642.95+538272.27+617665.14+564132.33+338307.23</f>
        <v>2545019.92</v>
      </c>
      <c r="K70" s="283">
        <v>440665.39</v>
      </c>
      <c r="L70" s="282">
        <v>967938.36</v>
      </c>
      <c r="M70" s="282">
        <v>471907.38</v>
      </c>
      <c r="N70" s="282">
        <v>471907.38</v>
      </c>
      <c r="O70" s="282">
        <v>480689.31</v>
      </c>
      <c r="P70" s="282">
        <v>480689.31</v>
      </c>
      <c r="Q70" s="282">
        <v>308948.38</v>
      </c>
      <c r="R70" s="282"/>
      <c r="S70" s="284">
        <v>279929.8</v>
      </c>
      <c r="T70" s="282">
        <v>308948.38</v>
      </c>
      <c r="U70" s="285">
        <v>287847.64</v>
      </c>
      <c r="V70" s="285">
        <v>0</v>
      </c>
      <c r="W70" s="285">
        <v>631930.05000000005</v>
      </c>
      <c r="X70" s="285">
        <f>287847.64+631930.05</f>
        <v>919777.69000000006</v>
      </c>
      <c r="Y70" s="285">
        <v>1856232.15</v>
      </c>
      <c r="Z70" s="285">
        <v>1856232.15</v>
      </c>
      <c r="AA70" s="286">
        <v>694881.79</v>
      </c>
      <c r="AB70" s="287">
        <f t="shared" ref="AB70:AB88" si="3">B70+C70-D70+E70-F70+G70-H70+I70-J70+K70-L70+M70-N70+O70-P70+Q70-R70+S70-T70+U70-V70+W70-X70+Y70-Z70+AA70</f>
        <v>829119.83000000007</v>
      </c>
      <c r="AC70" s="288">
        <v>829119.83</v>
      </c>
      <c r="AD70" s="141">
        <f t="shared" ref="AD70:AD81" si="4">AB70-AC70</f>
        <v>0</v>
      </c>
      <c r="AE70" s="143" t="e">
        <f>AC70-#REF!</f>
        <v>#REF!</v>
      </c>
      <c r="AF70" s="171"/>
    </row>
    <row r="71" spans="1:32" s="8" customFormat="1" x14ac:dyDescent="0.55000000000000004">
      <c r="A71" s="279" t="s">
        <v>87</v>
      </c>
      <c r="B71" s="280">
        <v>116342.66</v>
      </c>
      <c r="C71" s="281"/>
      <c r="D71" s="282"/>
      <c r="E71" s="282">
        <v>2488.0300000000002</v>
      </c>
      <c r="F71" s="282"/>
      <c r="G71" s="282">
        <v>24668.97</v>
      </c>
      <c r="H71" s="282"/>
      <c r="I71" s="282">
        <v>0</v>
      </c>
      <c r="J71" s="282"/>
      <c r="K71" s="283">
        <v>7818.33</v>
      </c>
      <c r="L71" s="282"/>
      <c r="M71" s="282">
        <v>0</v>
      </c>
      <c r="N71" s="282"/>
      <c r="O71" s="282">
        <v>0</v>
      </c>
      <c r="P71" s="282"/>
      <c r="Q71" s="282">
        <v>16840.79</v>
      </c>
      <c r="R71" s="282"/>
      <c r="S71" s="284">
        <v>6098.26</v>
      </c>
      <c r="T71" s="282"/>
      <c r="U71" s="282"/>
      <c r="V71" s="282"/>
      <c r="W71" s="282">
        <v>0</v>
      </c>
      <c r="X71" s="282"/>
      <c r="Y71" s="282">
        <v>0</v>
      </c>
      <c r="Z71" s="282"/>
      <c r="AA71" s="290">
        <v>8300.57</v>
      </c>
      <c r="AB71" s="287">
        <f t="shared" si="3"/>
        <v>182557.61000000002</v>
      </c>
      <c r="AC71" s="288">
        <v>182557.61</v>
      </c>
      <c r="AD71" s="141">
        <f t="shared" si="4"/>
        <v>0</v>
      </c>
      <c r="AE71" s="136"/>
      <c r="AF71" s="171"/>
    </row>
    <row r="72" spans="1:32" s="8" customFormat="1" x14ac:dyDescent="0.55000000000000004">
      <c r="A72" s="279" t="s">
        <v>88</v>
      </c>
      <c r="B72" s="280">
        <v>2301853.5299999998</v>
      </c>
      <c r="C72" s="281"/>
      <c r="D72" s="282">
        <f>720155.06+115321.54+75970.51+88952+2774.01+711684.08</f>
        <v>1714857.2000000002</v>
      </c>
      <c r="E72" s="282">
        <v>607991.15</v>
      </c>
      <c r="F72" s="282">
        <v>607991.15</v>
      </c>
      <c r="G72" s="282">
        <v>690365.18</v>
      </c>
      <c r="H72" s="282">
        <v>690365.18</v>
      </c>
      <c r="I72" s="282">
        <v>700252.07</v>
      </c>
      <c r="J72" s="282">
        <v>700252.07</v>
      </c>
      <c r="K72" s="283">
        <v>688175.84</v>
      </c>
      <c r="L72" s="282"/>
      <c r="M72" s="282">
        <v>512488.71</v>
      </c>
      <c r="N72" s="282">
        <v>688175.84</v>
      </c>
      <c r="O72" s="282">
        <v>265949.62</v>
      </c>
      <c r="P72" s="282"/>
      <c r="Q72" s="282">
        <v>856398.81</v>
      </c>
      <c r="R72" s="282"/>
      <c r="S72" s="284">
        <v>501835.47</v>
      </c>
      <c r="T72" s="282">
        <f>395181.85+778438.33+856398.81</f>
        <v>2030018.99</v>
      </c>
      <c r="U72" s="285">
        <v>396900.99</v>
      </c>
      <c r="V72" s="285">
        <f>501835.47+557178.07+396900.99</f>
        <v>1455914.53</v>
      </c>
      <c r="W72" s="285">
        <v>1729972.77</v>
      </c>
      <c r="X72" s="285">
        <f>1729972.77</f>
        <v>1729972.77</v>
      </c>
      <c r="Y72" s="285">
        <v>796634.8</v>
      </c>
      <c r="Z72" s="285">
        <v>796634.8</v>
      </c>
      <c r="AA72" s="286">
        <v>801151.3</v>
      </c>
      <c r="AB72" s="287">
        <f t="shared" si="3"/>
        <v>435787.7099999995</v>
      </c>
      <c r="AC72" s="288">
        <v>435787.71</v>
      </c>
      <c r="AD72" s="141">
        <f t="shared" si="4"/>
        <v>-5.2386894822120667E-10</v>
      </c>
      <c r="AE72" s="143" t="e">
        <f>AC72-#REF!</f>
        <v>#REF!</v>
      </c>
      <c r="AF72" s="171"/>
    </row>
    <row r="73" spans="1:32" s="8" customFormat="1" x14ac:dyDescent="0.55000000000000004">
      <c r="A73" s="279" t="s">
        <v>89</v>
      </c>
      <c r="B73" s="280">
        <v>385555.32</v>
      </c>
      <c r="C73" s="281"/>
      <c r="D73" s="282"/>
      <c r="E73" s="282">
        <v>331429.40000000002</v>
      </c>
      <c r="F73" s="282"/>
      <c r="G73" s="282">
        <v>329282</v>
      </c>
      <c r="H73" s="282"/>
      <c r="I73" s="282">
        <v>334362.75</v>
      </c>
      <c r="J73" s="282"/>
      <c r="K73" s="283">
        <v>225264.57</v>
      </c>
      <c r="L73" s="282"/>
      <c r="M73" s="282">
        <v>204776.23</v>
      </c>
      <c r="N73" s="282">
        <f>331429.4+329282+610738.64</f>
        <v>1271450.04</v>
      </c>
      <c r="O73" s="282">
        <v>354966</v>
      </c>
      <c r="P73" s="282">
        <f>539138.98</f>
        <v>539138.98</v>
      </c>
      <c r="Q73" s="282">
        <v>858134.7</v>
      </c>
      <c r="R73" s="282"/>
      <c r="S73" s="284">
        <v>820225.88</v>
      </c>
      <c r="T73" s="282"/>
      <c r="U73" s="285">
        <v>914535.25</v>
      </c>
      <c r="V73" s="285">
        <v>820225.88</v>
      </c>
      <c r="W73" s="285">
        <v>1097100.3600000001</v>
      </c>
      <c r="X73" s="285">
        <f>914535.25+354966+858134.7</f>
        <v>2127635.9500000002</v>
      </c>
      <c r="Y73" s="285">
        <v>2060726.4</v>
      </c>
      <c r="Z73" s="285">
        <f>205416.36+891684</f>
        <v>1097100.3599999999</v>
      </c>
      <c r="AA73" s="286">
        <v>1316186.1299999999</v>
      </c>
      <c r="AB73" s="287">
        <f t="shared" si="3"/>
        <v>3376993.7800000003</v>
      </c>
      <c r="AC73" s="291">
        <v>3376993.78</v>
      </c>
      <c r="AD73" s="141">
        <f t="shared" si="4"/>
        <v>0</v>
      </c>
      <c r="AE73" s="143" t="e">
        <f>AC73-#REF!</f>
        <v>#REF!</v>
      </c>
      <c r="AF73" s="171"/>
    </row>
    <row r="74" spans="1:32" s="8" customFormat="1" x14ac:dyDescent="0.55000000000000004">
      <c r="A74" s="279" t="s">
        <v>90</v>
      </c>
      <c r="B74" s="280">
        <v>4185997.03</v>
      </c>
      <c r="C74" s="281"/>
      <c r="D74" s="282"/>
      <c r="E74" s="282">
        <v>864244.69</v>
      </c>
      <c r="F74" s="282"/>
      <c r="G74" s="282">
        <v>937792.83</v>
      </c>
      <c r="H74" s="282">
        <v>864244.69</v>
      </c>
      <c r="I74" s="282">
        <v>964670.19</v>
      </c>
      <c r="J74" s="282"/>
      <c r="K74" s="283">
        <v>986463.24</v>
      </c>
      <c r="L74" s="282"/>
      <c r="M74" s="282">
        <v>716917.64</v>
      </c>
      <c r="N74" s="282">
        <f>937792.83</f>
        <v>937792.83</v>
      </c>
      <c r="O74" s="282">
        <v>695892.92</v>
      </c>
      <c r="P74" s="282">
        <f>986463.24+716917.64+964670.19</f>
        <v>2668051.0699999998</v>
      </c>
      <c r="Q74" s="282">
        <v>295934.09999999998</v>
      </c>
      <c r="R74" s="282">
        <f>695892.92</f>
        <v>695892.92</v>
      </c>
      <c r="S74" s="284">
        <v>308018.74</v>
      </c>
      <c r="T74" s="282">
        <v>295934.09999999998</v>
      </c>
      <c r="U74" s="285">
        <v>291319.14</v>
      </c>
      <c r="V74" s="285">
        <f>291319.14+308018.74</f>
        <v>599337.88</v>
      </c>
      <c r="W74" s="285">
        <v>3264757.38</v>
      </c>
      <c r="X74" s="285"/>
      <c r="Y74" s="285">
        <v>997133.66</v>
      </c>
      <c r="Z74" s="285">
        <v>3264757.38</v>
      </c>
      <c r="AA74" s="286">
        <v>1005070.24</v>
      </c>
      <c r="AB74" s="287">
        <f t="shared" si="3"/>
        <v>6188200.9299999988</v>
      </c>
      <c r="AC74" s="289">
        <v>6188200.9299999997</v>
      </c>
      <c r="AD74" s="141">
        <f t="shared" si="4"/>
        <v>0</v>
      </c>
      <c r="AE74" s="143" t="e">
        <f>AC74-#REF!</f>
        <v>#REF!</v>
      </c>
      <c r="AF74" s="171"/>
    </row>
    <row r="75" spans="1:32" s="8" customFormat="1" x14ac:dyDescent="0.55000000000000004">
      <c r="A75" s="279" t="s">
        <v>91</v>
      </c>
      <c r="B75" s="280">
        <v>973320.07</v>
      </c>
      <c r="C75" s="281"/>
      <c r="D75" s="282"/>
      <c r="E75" s="282">
        <v>440090.93</v>
      </c>
      <c r="F75" s="282"/>
      <c r="G75" s="282">
        <v>491183.02</v>
      </c>
      <c r="H75" s="282"/>
      <c r="I75" s="282">
        <v>480110.93</v>
      </c>
      <c r="J75" s="282">
        <f>525911.84+447408.23</f>
        <v>973320.07</v>
      </c>
      <c r="K75" s="283">
        <v>482335.73</v>
      </c>
      <c r="L75" s="282"/>
      <c r="M75" s="282">
        <v>496469.89</v>
      </c>
      <c r="N75" s="282">
        <f>491183.02+480110.93</f>
        <v>971293.95</v>
      </c>
      <c r="O75" s="282">
        <v>505732.71</v>
      </c>
      <c r="P75" s="282">
        <v>482335.73</v>
      </c>
      <c r="Q75" s="282">
        <v>518075.67</v>
      </c>
      <c r="R75" s="282">
        <f>505732.71</f>
        <v>505732.71</v>
      </c>
      <c r="S75" s="284">
        <v>492959.44</v>
      </c>
      <c r="T75" s="282">
        <v>492959.44</v>
      </c>
      <c r="U75" s="285">
        <v>411646.63</v>
      </c>
      <c r="V75" s="285">
        <f>518075.67+440090.93+496469.89</f>
        <v>1454636.49</v>
      </c>
      <c r="W75" s="285">
        <v>509381.23</v>
      </c>
      <c r="X75" s="285">
        <f>614356.54+509381.23</f>
        <v>1123737.77</v>
      </c>
      <c r="Y75" s="285">
        <v>507076.62</v>
      </c>
      <c r="Z75" s="285">
        <v>507076.62</v>
      </c>
      <c r="AA75" s="286">
        <v>509082.49</v>
      </c>
      <c r="AB75" s="287">
        <f t="shared" si="3"/>
        <v>306372.58000000054</v>
      </c>
      <c r="AC75" s="292">
        <v>306372.58</v>
      </c>
      <c r="AD75" s="141">
        <f t="shared" si="4"/>
        <v>5.2386894822120667E-10</v>
      </c>
      <c r="AE75" s="143" t="e">
        <f>AC75-#REF!</f>
        <v>#REF!</v>
      </c>
      <c r="AF75" s="171"/>
    </row>
    <row r="76" spans="1:32" s="8" customFormat="1" x14ac:dyDescent="0.55000000000000004">
      <c r="A76" s="279" t="s">
        <v>189</v>
      </c>
      <c r="B76" s="280">
        <v>1087200.67</v>
      </c>
      <c r="C76" s="281"/>
      <c r="D76" s="282"/>
      <c r="E76" s="282">
        <v>321996.34999999998</v>
      </c>
      <c r="F76" s="282"/>
      <c r="G76" s="282">
        <v>322309.5</v>
      </c>
      <c r="H76" s="282"/>
      <c r="I76" s="282">
        <v>321996.34999999998</v>
      </c>
      <c r="J76" s="282"/>
      <c r="K76" s="283">
        <v>322309.5</v>
      </c>
      <c r="L76" s="282"/>
      <c r="M76" s="282">
        <v>322309.5</v>
      </c>
      <c r="N76" s="282"/>
      <c r="O76" s="282">
        <v>321996.34999999998</v>
      </c>
      <c r="P76" s="282"/>
      <c r="Q76" s="282">
        <v>322309.5</v>
      </c>
      <c r="R76" s="282"/>
      <c r="S76" s="284">
        <v>321996.34999999998</v>
      </c>
      <c r="T76" s="282"/>
      <c r="U76" s="285">
        <v>322309.5</v>
      </c>
      <c r="V76" s="285"/>
      <c r="W76" s="285">
        <v>322309.5</v>
      </c>
      <c r="X76" s="285"/>
      <c r="Y76" s="285">
        <v>321370.06</v>
      </c>
      <c r="Z76" s="285"/>
      <c r="AA76" s="286">
        <v>322309.5</v>
      </c>
      <c r="AB76" s="287">
        <f t="shared" si="3"/>
        <v>4952722.63</v>
      </c>
      <c r="AC76" s="288">
        <v>4952722.63</v>
      </c>
      <c r="AD76" s="141">
        <f t="shared" si="4"/>
        <v>0</v>
      </c>
      <c r="AE76" s="136"/>
      <c r="AF76" s="171"/>
    </row>
    <row r="77" spans="1:32" s="8" customFormat="1" x14ac:dyDescent="0.55000000000000004">
      <c r="A77" s="190" t="s">
        <v>190</v>
      </c>
      <c r="B77" s="97"/>
      <c r="C77" s="97"/>
      <c r="D77" s="218"/>
      <c r="E77" s="218">
        <v>4464.3</v>
      </c>
      <c r="F77" s="218"/>
      <c r="G77" s="218">
        <v>4613.1099999999997</v>
      </c>
      <c r="H77" s="192"/>
      <c r="I77" s="218">
        <v>4464.3</v>
      </c>
      <c r="J77" s="218"/>
      <c r="K77" s="209">
        <v>4613.1099999999997</v>
      </c>
      <c r="L77" s="192"/>
      <c r="M77" s="218">
        <v>4613.1099999999997</v>
      </c>
      <c r="N77" s="218"/>
      <c r="O77" s="192">
        <v>4464.3</v>
      </c>
      <c r="P77" s="192"/>
      <c r="Q77" s="192">
        <v>4613.1099999999997</v>
      </c>
      <c r="R77" s="192"/>
      <c r="S77" s="202">
        <v>4464.3</v>
      </c>
      <c r="T77" s="192"/>
      <c r="U77" s="210">
        <v>4613.1099999999997</v>
      </c>
      <c r="V77" s="210"/>
      <c r="W77" s="210">
        <v>4613.1099999999997</v>
      </c>
      <c r="X77" s="210"/>
      <c r="Y77" s="217">
        <v>4166.68</v>
      </c>
      <c r="Z77" s="210"/>
      <c r="AA77" s="230">
        <v>4613.1099999999997</v>
      </c>
      <c r="AB77" s="125">
        <f t="shared" si="3"/>
        <v>54315.65</v>
      </c>
      <c r="AC77" s="135">
        <v>54315.65</v>
      </c>
      <c r="AD77" s="141">
        <f t="shared" si="4"/>
        <v>0</v>
      </c>
      <c r="AE77" s="136"/>
      <c r="AF77" s="171"/>
    </row>
    <row r="78" spans="1:32" s="8" customFormat="1" x14ac:dyDescent="0.55000000000000004">
      <c r="A78" s="190" t="s">
        <v>191</v>
      </c>
      <c r="B78" s="97">
        <v>4849.49</v>
      </c>
      <c r="C78" s="101"/>
      <c r="D78" s="218"/>
      <c r="E78" s="218">
        <v>2620.13</v>
      </c>
      <c r="F78" s="218"/>
      <c r="G78" s="218">
        <v>0</v>
      </c>
      <c r="H78" s="192"/>
      <c r="I78" s="218">
        <v>0</v>
      </c>
      <c r="J78" s="218"/>
      <c r="K78" s="209"/>
      <c r="L78" s="192"/>
      <c r="M78" s="218">
        <v>0</v>
      </c>
      <c r="N78" s="218"/>
      <c r="O78" s="192">
        <v>0</v>
      </c>
      <c r="P78" s="192"/>
      <c r="Q78" s="192"/>
      <c r="R78" s="192"/>
      <c r="S78" s="192"/>
      <c r="T78" s="192"/>
      <c r="U78" s="192"/>
      <c r="V78" s="192"/>
      <c r="W78" s="192">
        <v>0</v>
      </c>
      <c r="X78" s="192"/>
      <c r="Y78" s="218">
        <v>0</v>
      </c>
      <c r="Z78" s="192"/>
      <c r="AA78" s="112">
        <v>0</v>
      </c>
      <c r="AB78" s="125">
        <f t="shared" si="3"/>
        <v>7469.62</v>
      </c>
      <c r="AC78" s="135">
        <f>AB78+AA78+Z78+Y78+X78+W78+V78</f>
        <v>7469.62</v>
      </c>
      <c r="AD78" s="141">
        <f t="shared" si="4"/>
        <v>0</v>
      </c>
      <c r="AE78" s="136"/>
      <c r="AF78" s="171"/>
    </row>
    <row r="79" spans="1:32" s="8" customFormat="1" x14ac:dyDescent="0.55000000000000004">
      <c r="A79" s="190" t="s">
        <v>192</v>
      </c>
      <c r="B79" s="97"/>
      <c r="C79" s="97"/>
      <c r="D79" s="218"/>
      <c r="E79" s="218"/>
      <c r="F79" s="218"/>
      <c r="G79" s="218">
        <v>11580.03</v>
      </c>
      <c r="H79" s="192"/>
      <c r="I79" s="218">
        <v>0</v>
      </c>
      <c r="J79" s="218"/>
      <c r="K79" s="209"/>
      <c r="L79" s="192"/>
      <c r="M79" s="218">
        <v>0</v>
      </c>
      <c r="N79" s="218"/>
      <c r="O79" s="192">
        <v>653.44000000000005</v>
      </c>
      <c r="P79" s="192"/>
      <c r="Q79" s="192"/>
      <c r="R79" s="192"/>
      <c r="S79" s="192"/>
      <c r="T79" s="192"/>
      <c r="U79" s="192"/>
      <c r="V79" s="192"/>
      <c r="W79" s="192">
        <v>0</v>
      </c>
      <c r="X79" s="192"/>
      <c r="Y79" s="218">
        <v>0</v>
      </c>
      <c r="Z79" s="192"/>
      <c r="AA79" s="112">
        <v>0</v>
      </c>
      <c r="AB79" s="125">
        <f t="shared" si="3"/>
        <v>12233.470000000001</v>
      </c>
      <c r="AC79" s="135">
        <f>AB79+AA79+Z79+Y79+X79+W79+V79</f>
        <v>12233.470000000001</v>
      </c>
      <c r="AD79" s="141">
        <f t="shared" si="4"/>
        <v>0</v>
      </c>
      <c r="AE79" s="136"/>
      <c r="AF79" s="171"/>
    </row>
    <row r="80" spans="1:32" s="8" customFormat="1" x14ac:dyDescent="0.55000000000000004">
      <c r="A80" s="190" t="s">
        <v>193</v>
      </c>
      <c r="B80" s="97"/>
      <c r="C80" s="97"/>
      <c r="D80" s="218"/>
      <c r="E80" s="218"/>
      <c r="F80" s="218"/>
      <c r="G80" s="218">
        <v>5834.62</v>
      </c>
      <c r="H80" s="192"/>
      <c r="I80" s="218">
        <v>0</v>
      </c>
      <c r="J80" s="218"/>
      <c r="K80" s="209"/>
      <c r="L80" s="192"/>
      <c r="M80" s="218">
        <v>0</v>
      </c>
      <c r="N80" s="218"/>
      <c r="O80" s="192"/>
      <c r="P80" s="192"/>
      <c r="Q80" s="192"/>
      <c r="R80" s="192"/>
      <c r="S80" s="192"/>
      <c r="T80" s="192"/>
      <c r="U80" s="192"/>
      <c r="V80" s="192"/>
      <c r="W80" s="192">
        <v>0</v>
      </c>
      <c r="X80" s="192"/>
      <c r="Y80" s="218">
        <v>0</v>
      </c>
      <c r="Z80" s="192"/>
      <c r="AA80" s="112">
        <v>0</v>
      </c>
      <c r="AB80" s="125">
        <f t="shared" si="3"/>
        <v>5834.62</v>
      </c>
      <c r="AC80" s="135">
        <f>AB80+AA80+Z80+Y80+X80+W80+V80</f>
        <v>5834.62</v>
      </c>
      <c r="AD80" s="141">
        <f t="shared" si="4"/>
        <v>0</v>
      </c>
      <c r="AE80" s="136"/>
      <c r="AF80" s="171"/>
    </row>
    <row r="81" spans="1:32" s="8" customFormat="1" x14ac:dyDescent="0.55000000000000004">
      <c r="A81" s="190" t="s">
        <v>194</v>
      </c>
      <c r="B81" s="97"/>
      <c r="C81" s="97"/>
      <c r="D81" s="218"/>
      <c r="E81" s="218"/>
      <c r="F81" s="218"/>
      <c r="G81" s="218"/>
      <c r="H81" s="192"/>
      <c r="I81" s="218"/>
      <c r="J81" s="218"/>
      <c r="K81" s="209"/>
      <c r="L81" s="192"/>
      <c r="M81" s="218"/>
      <c r="N81" s="218"/>
      <c r="O81" s="192">
        <v>139727.91</v>
      </c>
      <c r="P81" s="192"/>
      <c r="Q81" s="192">
        <v>139702.72</v>
      </c>
      <c r="R81" s="192"/>
      <c r="S81" s="202">
        <v>28281.45</v>
      </c>
      <c r="T81" s="192"/>
      <c r="U81" s="210">
        <v>28138.25</v>
      </c>
      <c r="V81" s="210"/>
      <c r="W81" s="210">
        <v>32562.58</v>
      </c>
      <c r="X81" s="210"/>
      <c r="Y81" s="217">
        <v>24970.73</v>
      </c>
      <c r="Z81" s="210"/>
      <c r="AA81" s="230">
        <v>28068.5</v>
      </c>
      <c r="AB81" s="125">
        <f t="shared" si="3"/>
        <v>421452.14</v>
      </c>
      <c r="AC81" s="135">
        <v>421452.14</v>
      </c>
      <c r="AD81" s="141">
        <f t="shared" si="4"/>
        <v>0</v>
      </c>
      <c r="AE81" s="136"/>
      <c r="AF81" s="171"/>
    </row>
    <row r="82" spans="1:32" s="8" customFormat="1" x14ac:dyDescent="0.55000000000000004">
      <c r="A82" s="173" t="s">
        <v>112</v>
      </c>
      <c r="B82" s="164">
        <v>54257.82</v>
      </c>
      <c r="C82" s="165"/>
      <c r="D82" s="218"/>
      <c r="E82" s="218">
        <v>0</v>
      </c>
      <c r="F82" s="218"/>
      <c r="G82" s="218">
        <v>0</v>
      </c>
      <c r="H82" s="218"/>
      <c r="I82" s="218">
        <v>0</v>
      </c>
      <c r="J82" s="218"/>
      <c r="K82" s="166"/>
      <c r="L82" s="218"/>
      <c r="M82" s="218">
        <v>0</v>
      </c>
      <c r="N82" s="218"/>
      <c r="O82" s="218"/>
      <c r="P82" s="218"/>
      <c r="Q82" s="218"/>
      <c r="R82" s="218"/>
      <c r="S82" s="218"/>
      <c r="T82" s="218"/>
      <c r="U82" s="218"/>
      <c r="V82" s="218"/>
      <c r="W82" s="218">
        <v>0</v>
      </c>
      <c r="X82" s="218"/>
      <c r="Y82" s="218">
        <v>0</v>
      </c>
      <c r="Z82" s="218"/>
      <c r="AA82" s="112">
        <v>0</v>
      </c>
      <c r="AB82" s="167">
        <f t="shared" si="3"/>
        <v>54257.82</v>
      </c>
      <c r="AC82" s="168"/>
      <c r="AD82" s="169">
        <v>0</v>
      </c>
      <c r="AE82" s="136"/>
      <c r="AF82" s="171"/>
    </row>
    <row r="83" spans="1:32" s="8" customFormat="1" x14ac:dyDescent="0.55000000000000004">
      <c r="A83" s="190" t="s">
        <v>92</v>
      </c>
      <c r="B83" s="97">
        <v>873.27</v>
      </c>
      <c r="C83" s="101"/>
      <c r="D83" s="218"/>
      <c r="E83" s="218">
        <v>0</v>
      </c>
      <c r="F83" s="218"/>
      <c r="G83" s="218"/>
      <c r="H83" s="192"/>
      <c r="I83" s="218">
        <v>0</v>
      </c>
      <c r="J83" s="218"/>
      <c r="K83" s="209"/>
      <c r="L83" s="192"/>
      <c r="M83" s="218">
        <v>0</v>
      </c>
      <c r="N83" s="218"/>
      <c r="O83" s="192"/>
      <c r="P83" s="192"/>
      <c r="Q83" s="192"/>
      <c r="R83" s="192"/>
      <c r="S83" s="192"/>
      <c r="T83" s="192"/>
      <c r="U83" s="192"/>
      <c r="V83" s="192"/>
      <c r="W83" s="192">
        <v>0</v>
      </c>
      <c r="X83" s="192"/>
      <c r="Y83" s="218">
        <v>0</v>
      </c>
      <c r="Z83" s="192"/>
      <c r="AA83" s="112">
        <v>0</v>
      </c>
      <c r="AB83" s="125">
        <f t="shared" si="3"/>
        <v>873.27</v>
      </c>
      <c r="AC83" s="152">
        <f>AB83+AA83+Z83+Y83+X83+W83+V83</f>
        <v>873.27</v>
      </c>
      <c r="AD83" s="141">
        <f>AB83-AC83</f>
        <v>0</v>
      </c>
      <c r="AE83" s="136"/>
      <c r="AF83" s="171"/>
    </row>
    <row r="84" spans="1:32" s="182" customFormat="1" x14ac:dyDescent="0.55000000000000004">
      <c r="A84" s="190" t="s">
        <v>195</v>
      </c>
      <c r="B84" s="97"/>
      <c r="C84" s="101"/>
      <c r="D84" s="218"/>
      <c r="E84" s="218"/>
      <c r="F84" s="218"/>
      <c r="G84" s="218">
        <v>41055.19</v>
      </c>
      <c r="H84" s="192"/>
      <c r="I84" s="218">
        <v>5451.18</v>
      </c>
      <c r="J84" s="218"/>
      <c r="K84" s="209"/>
      <c r="L84" s="192"/>
      <c r="M84" s="218"/>
      <c r="N84" s="218"/>
      <c r="O84" s="192"/>
      <c r="P84" s="192"/>
      <c r="Q84" s="192"/>
      <c r="R84" s="192"/>
      <c r="S84" s="192"/>
      <c r="T84" s="192"/>
      <c r="U84" s="192"/>
      <c r="V84" s="192"/>
      <c r="W84" s="192"/>
      <c r="X84" s="192"/>
      <c r="Y84" s="218"/>
      <c r="Z84" s="192"/>
      <c r="AA84" s="112"/>
      <c r="AB84" s="125">
        <f t="shared" si="3"/>
        <v>46506.37</v>
      </c>
      <c r="AC84" s="152"/>
      <c r="AD84" s="141"/>
      <c r="AE84" s="136"/>
      <c r="AF84" s="171"/>
    </row>
    <row r="85" spans="1:32" s="8" customFormat="1" x14ac:dyDescent="0.55000000000000004">
      <c r="A85" s="190" t="s">
        <v>196</v>
      </c>
      <c r="B85" s="97"/>
      <c r="C85" s="97"/>
      <c r="D85" s="218"/>
      <c r="E85" s="218"/>
      <c r="F85" s="218"/>
      <c r="G85" s="218"/>
      <c r="H85" s="192"/>
      <c r="I85" s="218"/>
      <c r="J85" s="218"/>
      <c r="K85" s="209"/>
      <c r="L85" s="192"/>
      <c r="M85" s="218"/>
      <c r="N85" s="218"/>
      <c r="O85" s="192">
        <v>497014.97</v>
      </c>
      <c r="P85" s="192"/>
      <c r="Q85" s="213">
        <v>112791.49</v>
      </c>
      <c r="R85" s="192"/>
      <c r="S85" s="202">
        <v>107796.41</v>
      </c>
      <c r="T85" s="192"/>
      <c r="U85" s="210">
        <v>107189.28</v>
      </c>
      <c r="V85" s="210"/>
      <c r="W85" s="210">
        <v>117906.75</v>
      </c>
      <c r="X85" s="210"/>
      <c r="Y85" s="217">
        <v>101513.59</v>
      </c>
      <c r="Z85" s="210"/>
      <c r="AA85" s="230">
        <v>113650.71</v>
      </c>
      <c r="AB85" s="125">
        <f t="shared" si="3"/>
        <v>1157863.2</v>
      </c>
      <c r="AC85" s="152">
        <v>1157863.2</v>
      </c>
      <c r="AD85" s="141">
        <f>AB85-AC85</f>
        <v>0</v>
      </c>
      <c r="AE85" s="136"/>
      <c r="AF85" s="171"/>
    </row>
    <row r="86" spans="1:32" s="8" customFormat="1" x14ac:dyDescent="0.55000000000000004">
      <c r="A86" s="193" t="s">
        <v>197</v>
      </c>
      <c r="B86" s="98"/>
      <c r="C86" s="98"/>
      <c r="D86" s="220"/>
      <c r="E86" s="220"/>
      <c r="F86" s="220"/>
      <c r="G86" s="220"/>
      <c r="H86" s="194"/>
      <c r="I86" s="220"/>
      <c r="J86" s="220"/>
      <c r="K86" s="212"/>
      <c r="L86" s="194"/>
      <c r="M86" s="220"/>
      <c r="N86" s="220"/>
      <c r="O86" s="194"/>
      <c r="P86" s="194"/>
      <c r="Q86" s="214"/>
      <c r="R86" s="194"/>
      <c r="S86" s="215"/>
      <c r="T86" s="194"/>
      <c r="U86" s="216"/>
      <c r="V86" s="216"/>
      <c r="W86" s="216">
        <v>19043.98</v>
      </c>
      <c r="X86" s="216"/>
      <c r="Y86" s="219">
        <v>11138.75</v>
      </c>
      <c r="Z86" s="216"/>
      <c r="AA86" s="113">
        <v>0</v>
      </c>
      <c r="AB86" s="125">
        <f t="shared" si="3"/>
        <v>30182.73</v>
      </c>
      <c r="AC86" s="152">
        <v>30182.73</v>
      </c>
      <c r="AD86" s="141">
        <f>AB86-AC86</f>
        <v>0</v>
      </c>
      <c r="AE86" s="136"/>
      <c r="AF86" s="171"/>
    </row>
    <row r="87" spans="1:32" s="8" customFormat="1" x14ac:dyDescent="0.55000000000000004">
      <c r="A87" s="193" t="s">
        <v>93</v>
      </c>
      <c r="B87" s="97">
        <v>143834.67000000001</v>
      </c>
      <c r="C87" s="101"/>
      <c r="D87" s="218"/>
      <c r="E87" s="218">
        <v>0</v>
      </c>
      <c r="F87" s="218"/>
      <c r="G87" s="218"/>
      <c r="H87" s="192"/>
      <c r="I87" s="218">
        <v>0</v>
      </c>
      <c r="J87" s="218"/>
      <c r="K87" s="209"/>
      <c r="L87" s="192"/>
      <c r="M87" s="218">
        <v>0</v>
      </c>
      <c r="N87" s="218"/>
      <c r="O87" s="192"/>
      <c r="P87" s="192"/>
      <c r="Q87" s="192"/>
      <c r="R87" s="192"/>
      <c r="S87" s="192"/>
      <c r="T87" s="192"/>
      <c r="U87" s="192"/>
      <c r="V87" s="192"/>
      <c r="W87" s="192">
        <v>0</v>
      </c>
      <c r="X87" s="192"/>
      <c r="Y87" s="218">
        <v>0</v>
      </c>
      <c r="Z87" s="192"/>
      <c r="AA87" s="218">
        <v>0</v>
      </c>
      <c r="AB87" s="125">
        <f t="shared" si="3"/>
        <v>143834.67000000001</v>
      </c>
      <c r="AC87" s="135">
        <f>AB87+AA87+Z87+Y87+X87+W87+V87</f>
        <v>143834.67000000001</v>
      </c>
      <c r="AD87" s="141">
        <f>AB87-AC87</f>
        <v>0</v>
      </c>
      <c r="AE87" s="136"/>
      <c r="AF87" s="171"/>
    </row>
    <row r="88" spans="1:32" s="8" customFormat="1" x14ac:dyDescent="0.55000000000000004">
      <c r="A88" s="109" t="s">
        <v>104</v>
      </c>
      <c r="B88" s="97">
        <v>19279.3</v>
      </c>
      <c r="C88" s="101"/>
      <c r="D88" s="218"/>
      <c r="E88" s="218"/>
      <c r="F88" s="218"/>
      <c r="G88" s="218"/>
      <c r="H88" s="192"/>
      <c r="I88" s="218"/>
      <c r="J88" s="218"/>
      <c r="K88" s="209"/>
      <c r="L88" s="192"/>
      <c r="M88" s="218"/>
      <c r="N88" s="218"/>
      <c r="O88" s="192"/>
      <c r="P88" s="192"/>
      <c r="Q88" s="192"/>
      <c r="R88" s="192"/>
      <c r="S88" s="192"/>
      <c r="T88" s="192"/>
      <c r="U88" s="192"/>
      <c r="V88" s="192"/>
      <c r="W88" s="192"/>
      <c r="X88" s="192"/>
      <c r="Y88" s="218"/>
      <c r="Z88" s="192"/>
      <c r="AA88" s="218"/>
      <c r="AB88" s="125">
        <f t="shared" si="3"/>
        <v>19279.3</v>
      </c>
      <c r="AC88" s="152">
        <f>AB88+AA88+Z88+Y88+X88+W88+V88</f>
        <v>19279.3</v>
      </c>
      <c r="AD88" s="141">
        <f>AB88-AC88</f>
        <v>0</v>
      </c>
      <c r="AE88" s="136"/>
      <c r="AF88" s="171"/>
    </row>
    <row r="89" spans="1:32" s="8" customFormat="1" x14ac:dyDescent="0.55000000000000004">
      <c r="A89" s="170" t="s">
        <v>152</v>
      </c>
      <c r="B89" s="135">
        <v>46506.37</v>
      </c>
      <c r="C89" s="233"/>
      <c r="D89" s="233"/>
      <c r="E89" s="233"/>
      <c r="F89" s="233"/>
      <c r="G89" s="233"/>
      <c r="H89" s="233"/>
      <c r="I89" s="135">
        <f>H89+G89+F89+E89+D89+C89+B89</f>
        <v>46506.37</v>
      </c>
      <c r="J89" s="220"/>
      <c r="K89" s="212"/>
      <c r="L89" s="194"/>
      <c r="M89" s="220"/>
      <c r="N89" s="220"/>
      <c r="O89" s="194"/>
      <c r="P89" s="135"/>
      <c r="Q89" s="194"/>
      <c r="R89" s="194"/>
      <c r="S89" s="194"/>
      <c r="T89" s="194"/>
      <c r="U89" s="194"/>
      <c r="V89" s="194"/>
      <c r="W89" s="194"/>
      <c r="X89" s="194"/>
      <c r="Y89" s="220"/>
      <c r="Z89" s="194"/>
      <c r="AA89" s="218"/>
      <c r="AB89" s="125"/>
      <c r="AC89" s="152"/>
      <c r="AD89" s="141"/>
      <c r="AE89" s="136"/>
      <c r="AF89" s="171"/>
    </row>
    <row r="90" spans="1:32" s="8" customFormat="1" ht="24" thickBot="1" x14ac:dyDescent="0.6">
      <c r="A90" s="117" t="s">
        <v>140</v>
      </c>
      <c r="B90" s="118">
        <v>-0.56000000000000005</v>
      </c>
      <c r="C90" s="119"/>
      <c r="D90" s="120"/>
      <c r="E90" s="120"/>
      <c r="F90" s="120"/>
      <c r="G90" s="120"/>
      <c r="H90" s="121"/>
      <c r="I90" s="120"/>
      <c r="J90" s="120"/>
      <c r="K90" s="122"/>
      <c r="L90" s="121"/>
      <c r="M90" s="120"/>
      <c r="N90" s="120"/>
      <c r="O90" s="121"/>
      <c r="P90" s="121"/>
      <c r="Q90" s="121"/>
      <c r="R90" s="121"/>
      <c r="S90" s="121"/>
      <c r="T90" s="121"/>
      <c r="U90" s="121"/>
      <c r="V90" s="121"/>
      <c r="W90" s="121"/>
      <c r="X90" s="121"/>
      <c r="Y90" s="120"/>
      <c r="Z90" s="121"/>
      <c r="AA90" s="220"/>
      <c r="AB90" s="125">
        <f>B90+C90-D90+E90-F90+G90-H90+I90-J90+K90-L90+M90-N90+O90-P90+Q90-R90+S90-T90+U90-V90+W90-X90+Y90-Z90+AA90</f>
        <v>-0.56000000000000005</v>
      </c>
      <c r="AC90" s="152">
        <f>AB90+AA90+Z90+Y90+X90+W90+V90</f>
        <v>-0.56000000000000005</v>
      </c>
      <c r="AD90" s="141">
        <f>AB90-AC90</f>
        <v>0</v>
      </c>
      <c r="AE90" s="136"/>
      <c r="AF90" s="171"/>
    </row>
    <row r="91" spans="1:32" ht="24" thickBot="1" x14ac:dyDescent="0.6">
      <c r="A91" s="107" t="s">
        <v>6</v>
      </c>
      <c r="B91" s="108">
        <f>SUM(B6:B90)</f>
        <v>309385823.43299967</v>
      </c>
      <c r="C91" s="108">
        <f>SUM(C6:C90)</f>
        <v>261732.57000000004</v>
      </c>
      <c r="D91" s="114">
        <f t="shared" ref="D91:O91" si="5">SUM(D6:D87)</f>
        <v>101986943.39</v>
      </c>
      <c r="E91" s="114">
        <f t="shared" si="5"/>
        <v>64572245.389999986</v>
      </c>
      <c r="F91" s="114">
        <f t="shared" si="5"/>
        <v>55000248.309999987</v>
      </c>
      <c r="G91" s="114">
        <f t="shared" si="5"/>
        <v>59319954.179999992</v>
      </c>
      <c r="H91" s="115">
        <f t="shared" si="5"/>
        <v>97235467.232999995</v>
      </c>
      <c r="I91" s="114">
        <f t="shared" si="5"/>
        <v>59657703.359999999</v>
      </c>
      <c r="J91" s="114">
        <f t="shared" si="5"/>
        <v>62291593.030000009</v>
      </c>
      <c r="K91" s="116">
        <f t="shared" si="5"/>
        <v>59606981.099999994</v>
      </c>
      <c r="L91" s="114">
        <f t="shared" si="5"/>
        <v>46201248.660000004</v>
      </c>
      <c r="M91" s="114">
        <f t="shared" si="5"/>
        <v>58268658.070000008</v>
      </c>
      <c r="N91" s="114">
        <f t="shared" si="5"/>
        <v>46987331.549999997</v>
      </c>
      <c r="O91" s="114">
        <f t="shared" si="5"/>
        <v>59635266.30999998</v>
      </c>
      <c r="P91" s="114">
        <f>SUM(P8:P87)</f>
        <v>91720018.603</v>
      </c>
      <c r="Q91" s="114">
        <f t="shared" ref="Q91:AA91" si="6">SUM(Q6:Q87)</f>
        <v>60876660.110000022</v>
      </c>
      <c r="R91" s="114">
        <f t="shared" si="6"/>
        <v>56519587.940000027</v>
      </c>
      <c r="S91" s="114">
        <f t="shared" si="6"/>
        <v>63190582.139999971</v>
      </c>
      <c r="T91" s="114">
        <f t="shared" si="6"/>
        <v>78868771.340000018</v>
      </c>
      <c r="U91" s="114">
        <f t="shared" si="6"/>
        <v>53258920.770000011</v>
      </c>
      <c r="V91" s="114">
        <f t="shared" si="6"/>
        <v>31596725.489999991</v>
      </c>
      <c r="W91" s="114">
        <f t="shared" si="6"/>
        <v>65100483.479999974</v>
      </c>
      <c r="X91" s="114">
        <f t="shared" si="6"/>
        <v>71201148.109999999</v>
      </c>
      <c r="Y91" s="114">
        <f t="shared" si="6"/>
        <v>69821051.566000015</v>
      </c>
      <c r="Z91" s="114">
        <f t="shared" si="6"/>
        <v>121409551.47</v>
      </c>
      <c r="AA91" s="195">
        <f t="shared" si="6"/>
        <v>82748218.069999978</v>
      </c>
      <c r="AB91" s="126">
        <f>SUM(AB6:AB90)</f>
        <v>204639139.053</v>
      </c>
      <c r="AC91" s="150"/>
      <c r="AD91" s="141"/>
      <c r="AF91" s="701"/>
    </row>
    <row r="92" spans="1:32" x14ac:dyDescent="0.55000000000000004">
      <c r="L92" s="185">
        <f>L91-46201248.66</f>
        <v>0</v>
      </c>
      <c r="U92" s="234"/>
      <c r="V92" s="234"/>
      <c r="W92" s="234"/>
      <c r="X92" s="234"/>
      <c r="Y92" s="235"/>
      <c r="Z92" s="234"/>
      <c r="AA92" s="234"/>
      <c r="AB92" s="183"/>
      <c r="AC92" s="150"/>
      <c r="AD92" s="141"/>
      <c r="AF92" s="701"/>
    </row>
    <row r="93" spans="1:32" x14ac:dyDescent="0.55000000000000004">
      <c r="AB93" s="180"/>
      <c r="AC93" s="150"/>
      <c r="AD93" s="141"/>
      <c r="AF93" s="701"/>
    </row>
    <row r="94" spans="1:32" x14ac:dyDescent="0.55000000000000004">
      <c r="AB94" s="99"/>
      <c r="AC94" s="150"/>
      <c r="AD94" s="141"/>
      <c r="AF94" s="93"/>
    </row>
    <row r="95" spans="1:32" x14ac:dyDescent="0.55000000000000004">
      <c r="D95" s="197"/>
      <c r="E95" s="197"/>
      <c r="F95" s="197"/>
      <c r="G95" s="197"/>
      <c r="H95" s="229"/>
      <c r="I95" s="197"/>
      <c r="J95" s="197"/>
      <c r="K95" s="201"/>
      <c r="L95" s="197"/>
      <c r="M95" s="197"/>
      <c r="N95" s="197"/>
      <c r="O95" s="197"/>
      <c r="P95" s="197"/>
      <c r="Q95" s="197"/>
      <c r="R95" s="197"/>
      <c r="S95" s="197"/>
      <c r="T95" s="197"/>
      <c r="U95" s="197"/>
      <c r="V95" s="197"/>
      <c r="W95" s="197"/>
      <c r="X95" s="197"/>
      <c r="Y95" s="197"/>
      <c r="Z95" s="197"/>
      <c r="AA95" s="197"/>
      <c r="AB95" s="99"/>
      <c r="AC95" s="150"/>
      <c r="AD95" s="141"/>
      <c r="AF95" s="701"/>
    </row>
    <row r="96" spans="1:32" x14ac:dyDescent="0.55000000000000004">
      <c r="AB96" s="99"/>
      <c r="AC96" s="153"/>
      <c r="AD96" s="142"/>
      <c r="AF96" s="93"/>
    </row>
    <row r="97" spans="1:30" x14ac:dyDescent="0.55000000000000004">
      <c r="A97" s="196"/>
      <c r="B97" s="100"/>
      <c r="C97" s="100"/>
      <c r="D97" s="197"/>
      <c r="E97" s="197"/>
      <c r="F97" s="197"/>
      <c r="G97" s="197"/>
      <c r="H97" s="229"/>
      <c r="I97" s="197"/>
      <c r="J97" s="197"/>
      <c r="K97" s="201"/>
      <c r="L97" s="197"/>
      <c r="M97" s="197"/>
      <c r="N97" s="197"/>
      <c r="O97" s="197"/>
      <c r="P97" s="197"/>
      <c r="Q97" s="197"/>
      <c r="R97" s="197"/>
      <c r="S97" s="197"/>
      <c r="T97" s="197"/>
      <c r="U97" s="197"/>
      <c r="V97" s="197"/>
      <c r="W97" s="197"/>
      <c r="X97" s="197"/>
      <c r="Y97" s="197"/>
      <c r="Z97" s="197"/>
      <c r="AA97" s="197"/>
      <c r="AB97" s="183"/>
    </row>
    <row r="103" spans="1:30" x14ac:dyDescent="0.55000000000000004">
      <c r="AB103" s="183"/>
      <c r="AD103" s="143"/>
    </row>
  </sheetData>
  <mergeCells count="1">
    <mergeCell ref="A1:A2"/>
  </mergeCells>
  <pageMargins left="0.70866141732283472" right="0.70866141732283472" top="0.74803149606299213" bottom="0.74803149606299213" header="0.31496062992125984" footer="0.31496062992125984"/>
  <pageSetup paperSize="9" scale="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8"/>
  <sheetViews>
    <sheetView workbookViewId="0">
      <selection activeCell="I94" sqref="I94"/>
    </sheetView>
  </sheetViews>
  <sheetFormatPr defaultRowHeight="15.5" x14ac:dyDescent="0.35"/>
  <cols>
    <col min="1" max="1" width="65.453125" style="249" customWidth="1"/>
    <col min="2" max="8" width="14.36328125" style="249" hidden="1" customWidth="1"/>
    <col min="9" max="9" width="15.453125" style="249" bestFit="1" customWidth="1"/>
  </cols>
  <sheetData>
    <row r="1" spans="1:9" x14ac:dyDescent="0.35">
      <c r="B1" s="250" t="s">
        <v>198</v>
      </c>
    </row>
    <row r="2" spans="1:9" x14ac:dyDescent="0.35">
      <c r="A2" s="251" t="s">
        <v>199</v>
      </c>
    </row>
    <row r="3" spans="1:9" x14ac:dyDescent="0.35">
      <c r="A3" s="251" t="s">
        <v>200</v>
      </c>
      <c r="E3" s="252" t="s">
        <v>201</v>
      </c>
      <c r="F3" s="253" t="s">
        <v>202</v>
      </c>
    </row>
    <row r="4" spans="1:9" x14ac:dyDescent="0.35">
      <c r="A4" s="251" t="s">
        <v>203</v>
      </c>
    </row>
    <row r="5" spans="1:9" x14ac:dyDescent="0.35">
      <c r="A5" s="254" t="s">
        <v>198</v>
      </c>
      <c r="G5" s="255" t="s">
        <v>204</v>
      </c>
    </row>
    <row r="6" spans="1:9" x14ac:dyDescent="0.35">
      <c r="A6" s="256" t="s">
        <v>205</v>
      </c>
      <c r="B6" s="257" t="s">
        <v>206</v>
      </c>
      <c r="C6" s="257" t="s">
        <v>207</v>
      </c>
      <c r="D6" s="257" t="s">
        <v>208</v>
      </c>
      <c r="E6" s="257" t="s">
        <v>209</v>
      </c>
      <c r="F6" s="257" t="s">
        <v>210</v>
      </c>
      <c r="G6" s="257" t="s">
        <v>211</v>
      </c>
      <c r="H6" s="257" t="s">
        <v>212</v>
      </c>
      <c r="I6" s="257" t="s">
        <v>213</v>
      </c>
    </row>
    <row r="7" spans="1:9" x14ac:dyDescent="0.35">
      <c r="A7" s="258" t="s">
        <v>104</v>
      </c>
      <c r="B7" s="259">
        <v>19279.3</v>
      </c>
      <c r="C7" s="260"/>
      <c r="D7" s="260"/>
      <c r="E7" s="260"/>
      <c r="F7" s="260"/>
      <c r="G7" s="260"/>
      <c r="H7" s="260"/>
      <c r="I7" s="259">
        <v>19279.3</v>
      </c>
    </row>
    <row r="8" spans="1:9" x14ac:dyDescent="0.35">
      <c r="A8" s="258" t="s">
        <v>131</v>
      </c>
      <c r="B8" s="261">
        <v>873.27</v>
      </c>
      <c r="C8" s="260"/>
      <c r="D8" s="260"/>
      <c r="E8" s="260"/>
      <c r="F8" s="260"/>
      <c r="G8" s="260"/>
      <c r="H8" s="260"/>
      <c r="I8" s="261">
        <v>873.27</v>
      </c>
    </row>
    <row r="9" spans="1:9" x14ac:dyDescent="0.35">
      <c r="A9" s="258" t="s">
        <v>214</v>
      </c>
      <c r="B9" s="262">
        <v>59339665.75</v>
      </c>
      <c r="C9" s="260"/>
      <c r="D9" s="260"/>
      <c r="E9" s="260"/>
      <c r="F9" s="260"/>
      <c r="G9" s="260"/>
      <c r="H9" s="260"/>
      <c r="I9" s="275">
        <v>59339665.75</v>
      </c>
    </row>
    <row r="10" spans="1:9" x14ac:dyDescent="0.35">
      <c r="A10" s="258" t="s">
        <v>215</v>
      </c>
      <c r="B10" s="260"/>
      <c r="C10" s="260"/>
      <c r="D10" s="260"/>
      <c r="E10" s="263">
        <v>5971268.4900000002</v>
      </c>
      <c r="F10" s="263">
        <v>9969453.9299999997</v>
      </c>
      <c r="G10" s="263">
        <v>7663761.3300000001</v>
      </c>
      <c r="H10" s="263">
        <v>7128066.9100000001</v>
      </c>
      <c r="I10" s="262">
        <v>30732550.66</v>
      </c>
    </row>
    <row r="11" spans="1:9" x14ac:dyDescent="0.35">
      <c r="A11" s="258" t="s">
        <v>216</v>
      </c>
      <c r="B11" s="264">
        <v>980709.69</v>
      </c>
      <c r="C11" s="260"/>
      <c r="D11" s="260"/>
      <c r="E11" s="260"/>
      <c r="F11" s="265">
        <v>5335.63</v>
      </c>
      <c r="G11" s="260"/>
      <c r="H11" s="260"/>
      <c r="I11" s="264">
        <v>986045.32</v>
      </c>
    </row>
    <row r="12" spans="1:9" x14ac:dyDescent="0.35">
      <c r="A12" s="258" t="s">
        <v>217</v>
      </c>
      <c r="B12" s="264">
        <v>-532681.82999999996</v>
      </c>
      <c r="C12" s="260"/>
      <c r="D12" s="260"/>
      <c r="E12" s="260"/>
      <c r="F12" s="260"/>
      <c r="G12" s="260"/>
      <c r="H12" s="260"/>
      <c r="I12" s="274">
        <v>-532681.82999999996</v>
      </c>
    </row>
    <row r="13" spans="1:9" x14ac:dyDescent="0.35">
      <c r="A13" s="258" t="s">
        <v>218</v>
      </c>
      <c r="B13" s="260"/>
      <c r="C13" s="260"/>
      <c r="D13" s="260"/>
      <c r="E13" s="260"/>
      <c r="F13" s="260"/>
      <c r="G13" s="264">
        <v>406925.3</v>
      </c>
      <c r="H13" s="264">
        <v>121707.72</v>
      </c>
      <c r="I13" s="264">
        <v>528633.02</v>
      </c>
    </row>
    <row r="14" spans="1:9" x14ac:dyDescent="0.35">
      <c r="A14" s="258" t="s">
        <v>141</v>
      </c>
      <c r="B14" s="259">
        <v>19043.98</v>
      </c>
      <c r="C14" s="259">
        <v>11138.75</v>
      </c>
      <c r="D14" s="260"/>
      <c r="E14" s="260"/>
      <c r="F14" s="260"/>
      <c r="G14" s="260"/>
      <c r="H14" s="260"/>
      <c r="I14" s="259">
        <v>30182.73</v>
      </c>
    </row>
    <row r="15" spans="1:9" x14ac:dyDescent="0.35">
      <c r="A15" s="266" t="s">
        <v>219</v>
      </c>
      <c r="B15" s="248"/>
      <c r="C15" s="248"/>
      <c r="D15" s="248"/>
      <c r="E15" s="248"/>
      <c r="F15" s="267">
        <v>218634.27</v>
      </c>
      <c r="G15" s="267">
        <v>975545.67</v>
      </c>
      <c r="H15" s="267">
        <v>954622.37</v>
      </c>
      <c r="I15" s="268">
        <v>2148802.31</v>
      </c>
    </row>
    <row r="16" spans="1:9" x14ac:dyDescent="0.35">
      <c r="A16" s="258" t="s">
        <v>220</v>
      </c>
      <c r="B16" s="264">
        <v>942698.9</v>
      </c>
      <c r="C16" s="264">
        <v>101513.59</v>
      </c>
      <c r="D16" s="264">
        <v>113650.71</v>
      </c>
      <c r="E16" s="264">
        <v>108102.54</v>
      </c>
      <c r="F16" s="259">
        <v>94224.18</v>
      </c>
      <c r="G16" s="259">
        <v>86099.96</v>
      </c>
      <c r="H16" s="259">
        <v>85154.39</v>
      </c>
      <c r="I16" s="263">
        <v>1531444.27</v>
      </c>
    </row>
    <row r="17" spans="1:9" x14ac:dyDescent="0.35">
      <c r="A17" s="258" t="s">
        <v>116</v>
      </c>
      <c r="B17" s="261">
        <v>395.97</v>
      </c>
      <c r="C17" s="260"/>
      <c r="D17" s="260"/>
      <c r="E17" s="260"/>
      <c r="F17" s="260"/>
      <c r="G17" s="260"/>
      <c r="H17" s="260"/>
      <c r="I17" s="261">
        <v>395.97</v>
      </c>
    </row>
    <row r="18" spans="1:9" x14ac:dyDescent="0.35">
      <c r="A18" s="258" t="s">
        <v>140</v>
      </c>
      <c r="B18" s="269">
        <v>-0.56000000000000005</v>
      </c>
      <c r="C18" s="260"/>
      <c r="D18" s="260"/>
      <c r="E18" s="260"/>
      <c r="F18" s="260"/>
      <c r="G18" s="260"/>
      <c r="H18" s="260"/>
      <c r="I18" s="269">
        <v>-0.56000000000000005</v>
      </c>
    </row>
    <row r="19" spans="1:9" x14ac:dyDescent="0.35">
      <c r="A19" s="258" t="s">
        <v>144</v>
      </c>
      <c r="B19" s="264">
        <v>179549.29</v>
      </c>
      <c r="C19" s="265">
        <v>3104.69</v>
      </c>
      <c r="D19" s="260"/>
      <c r="E19" s="260"/>
      <c r="F19" s="260"/>
      <c r="G19" s="260"/>
      <c r="H19" s="260"/>
      <c r="I19" s="264">
        <v>182653.98</v>
      </c>
    </row>
    <row r="20" spans="1:9" x14ac:dyDescent="0.35">
      <c r="A20" s="258" t="s">
        <v>221</v>
      </c>
      <c r="B20" s="264">
        <v>471246.52</v>
      </c>
      <c r="C20" s="260"/>
      <c r="D20" s="260"/>
      <c r="E20" s="260"/>
      <c r="F20" s="260"/>
      <c r="G20" s="260"/>
      <c r="H20" s="260"/>
      <c r="I20" s="264">
        <v>471246.52</v>
      </c>
    </row>
    <row r="21" spans="1:9" x14ac:dyDescent="0.35">
      <c r="A21" s="258" t="s">
        <v>222</v>
      </c>
      <c r="B21" s="260"/>
      <c r="C21" s="264">
        <v>256163.08</v>
      </c>
      <c r="D21" s="264">
        <v>441708.32</v>
      </c>
      <c r="E21" s="264">
        <v>128278.11</v>
      </c>
      <c r="F21" s="264">
        <v>413882.44</v>
      </c>
      <c r="G21" s="264">
        <v>409836.98</v>
      </c>
      <c r="H21" s="264">
        <v>415591.94</v>
      </c>
      <c r="I21" s="263">
        <v>2065460.87</v>
      </c>
    </row>
    <row r="22" spans="1:9" x14ac:dyDescent="0.35">
      <c r="A22" s="258" t="s">
        <v>223</v>
      </c>
      <c r="B22" s="260"/>
      <c r="C22" s="260"/>
      <c r="D22" s="260"/>
      <c r="E22" s="260"/>
      <c r="F22" s="260"/>
      <c r="G22" s="263">
        <v>4047438.42</v>
      </c>
      <c r="H22" s="263">
        <v>3930854.72</v>
      </c>
      <c r="I22" s="263">
        <v>7978293.1399999997</v>
      </c>
    </row>
    <row r="23" spans="1:9" x14ac:dyDescent="0.35">
      <c r="A23" s="258" t="s">
        <v>224</v>
      </c>
      <c r="B23" s="260"/>
      <c r="C23" s="260"/>
      <c r="D23" s="260"/>
      <c r="E23" s="263">
        <v>1139825.2</v>
      </c>
      <c r="F23" s="263">
        <v>2263719.79</v>
      </c>
      <c r="G23" s="263">
        <v>2269790.84</v>
      </c>
      <c r="H23" s="263">
        <v>2029408.96</v>
      </c>
      <c r="I23" s="263">
        <v>7702744.79</v>
      </c>
    </row>
    <row r="24" spans="1:9" x14ac:dyDescent="0.35">
      <c r="A24" s="258" t="s">
        <v>225</v>
      </c>
      <c r="B24" s="263">
        <v>2108783.8199999998</v>
      </c>
      <c r="C24" s="263">
        <v>1927224.22</v>
      </c>
      <c r="D24" s="264">
        <v>938297.74</v>
      </c>
      <c r="E24" s="264">
        <v>988275.32</v>
      </c>
      <c r="F24" s="264">
        <v>903003.05</v>
      </c>
      <c r="G24" s="264">
        <v>876342.25</v>
      </c>
      <c r="H24" s="264">
        <v>775984.79</v>
      </c>
      <c r="I24" s="263">
        <v>8517911.1899999995</v>
      </c>
    </row>
    <row r="25" spans="1:9" x14ac:dyDescent="0.35">
      <c r="A25" s="258" t="s">
        <v>226</v>
      </c>
      <c r="B25" s="260"/>
      <c r="C25" s="259">
        <v>63224.08</v>
      </c>
      <c r="D25" s="264">
        <v>386655.41</v>
      </c>
      <c r="E25" s="264">
        <v>314656.15999999997</v>
      </c>
      <c r="F25" s="264">
        <v>288331.49</v>
      </c>
      <c r="G25" s="264">
        <v>286447.05</v>
      </c>
      <c r="H25" s="264">
        <v>453690.76</v>
      </c>
      <c r="I25" s="263">
        <v>1793004.95</v>
      </c>
    </row>
    <row r="26" spans="1:9" x14ac:dyDescent="0.35">
      <c r="A26" s="258" t="s">
        <v>227</v>
      </c>
      <c r="B26" s="260"/>
      <c r="C26" s="263">
        <v>4895362.13</v>
      </c>
      <c r="D26" s="262">
        <v>19698309.59</v>
      </c>
      <c r="E26" s="263">
        <v>6104999.2800000003</v>
      </c>
      <c r="F26" s="263">
        <v>6136943.2300000004</v>
      </c>
      <c r="G26" s="263">
        <v>5131860.3099999996</v>
      </c>
      <c r="H26" s="263">
        <v>4134618.67</v>
      </c>
      <c r="I26" s="262">
        <v>46102093.210000001</v>
      </c>
    </row>
    <row r="27" spans="1:9" x14ac:dyDescent="0.35">
      <c r="A27" s="258" t="s">
        <v>228</v>
      </c>
      <c r="B27" s="260"/>
      <c r="C27" s="260"/>
      <c r="D27" s="260"/>
      <c r="E27" s="260"/>
      <c r="F27" s="260"/>
      <c r="G27" s="263">
        <v>2886207.32</v>
      </c>
      <c r="H27" s="263">
        <v>3075912.96</v>
      </c>
      <c r="I27" s="263">
        <v>5962120.2800000003</v>
      </c>
    </row>
    <row r="28" spans="1:9" x14ac:dyDescent="0.35">
      <c r="A28" s="258" t="s">
        <v>229</v>
      </c>
      <c r="B28" s="263">
        <v>5278836.2699999996</v>
      </c>
      <c r="C28" s="263">
        <v>1024308.58</v>
      </c>
      <c r="D28" s="263">
        <v>1187677.3</v>
      </c>
      <c r="E28" s="263">
        <v>1315701.27</v>
      </c>
      <c r="F28" s="263">
        <v>1151068.98</v>
      </c>
      <c r="G28" s="263">
        <v>1780528.83</v>
      </c>
      <c r="H28" s="263">
        <v>1259584.05</v>
      </c>
      <c r="I28" s="262">
        <v>12997705.279999999</v>
      </c>
    </row>
    <row r="29" spans="1:9" x14ac:dyDescent="0.35">
      <c r="A29" s="258" t="s">
        <v>230</v>
      </c>
      <c r="B29" s="260"/>
      <c r="C29" s="260"/>
      <c r="D29" s="260"/>
      <c r="E29" s="260"/>
      <c r="F29" s="259">
        <v>14902.22</v>
      </c>
      <c r="G29" s="264">
        <v>410007.42</v>
      </c>
      <c r="H29" s="264">
        <v>437536.85</v>
      </c>
      <c r="I29" s="264">
        <v>862446.49</v>
      </c>
    </row>
    <row r="30" spans="1:9" x14ac:dyDescent="0.35">
      <c r="A30" s="258" t="s">
        <v>231</v>
      </c>
      <c r="B30" s="264">
        <v>611595.16</v>
      </c>
      <c r="C30" s="264">
        <v>238384.73</v>
      </c>
      <c r="D30" s="264">
        <v>310220.03999999998</v>
      </c>
      <c r="E30" s="264">
        <v>248762.47</v>
      </c>
      <c r="F30" s="264">
        <v>499039.79</v>
      </c>
      <c r="G30" s="264">
        <v>342589.69</v>
      </c>
      <c r="H30" s="264">
        <v>297687.28000000003</v>
      </c>
      <c r="I30" s="263">
        <v>2548279.16</v>
      </c>
    </row>
    <row r="31" spans="1:9" x14ac:dyDescent="0.35">
      <c r="A31" s="258" t="s">
        <v>232</v>
      </c>
      <c r="B31" s="264">
        <v>216216.19</v>
      </c>
      <c r="C31" s="260"/>
      <c r="D31" s="260"/>
      <c r="E31" s="260"/>
      <c r="F31" s="260"/>
      <c r="G31" s="260"/>
      <c r="H31" s="260"/>
      <c r="I31" s="264">
        <v>216216.19</v>
      </c>
    </row>
    <row r="32" spans="1:9" x14ac:dyDescent="0.35">
      <c r="A32" s="258" t="s">
        <v>233</v>
      </c>
      <c r="B32" s="260"/>
      <c r="C32" s="260"/>
      <c r="D32" s="260"/>
      <c r="E32" s="260"/>
      <c r="F32" s="263">
        <v>5308537.12</v>
      </c>
      <c r="G32" s="263">
        <v>7174869.8200000003</v>
      </c>
      <c r="H32" s="263">
        <v>6605901.2400000002</v>
      </c>
      <c r="I32" s="262">
        <v>19089308.18</v>
      </c>
    </row>
    <row r="33" spans="1:9" x14ac:dyDescent="0.35">
      <c r="A33" s="258" t="s">
        <v>234</v>
      </c>
      <c r="B33" s="260"/>
      <c r="C33" s="260"/>
      <c r="D33" s="259">
        <v>16509.240000000002</v>
      </c>
      <c r="E33" s="259">
        <v>20158.7</v>
      </c>
      <c r="F33" s="259">
        <v>18962.14</v>
      </c>
      <c r="G33" s="259">
        <v>20295.900000000001</v>
      </c>
      <c r="H33" s="259">
        <v>39876.76</v>
      </c>
      <c r="I33" s="264">
        <v>115802.74</v>
      </c>
    </row>
    <row r="34" spans="1:9" x14ac:dyDescent="0.35">
      <c r="A34" s="258" t="s">
        <v>235</v>
      </c>
      <c r="B34" s="259">
        <v>95573.61</v>
      </c>
      <c r="C34" s="259">
        <v>45103.05</v>
      </c>
      <c r="D34" s="259">
        <v>46924.75</v>
      </c>
      <c r="E34" s="259">
        <v>44204.62</v>
      </c>
      <c r="F34" s="259">
        <v>43476.5</v>
      </c>
      <c r="G34" s="259">
        <v>42252.72</v>
      </c>
      <c r="H34" s="259">
        <v>43560.47</v>
      </c>
      <c r="I34" s="264">
        <v>361095.72</v>
      </c>
    </row>
    <row r="35" spans="1:9" x14ac:dyDescent="0.35">
      <c r="A35" s="258" t="s">
        <v>236</v>
      </c>
      <c r="B35" s="260"/>
      <c r="C35" s="260"/>
      <c r="D35" s="260"/>
      <c r="E35" s="260"/>
      <c r="F35" s="260"/>
      <c r="G35" s="260"/>
      <c r="H35" s="264">
        <v>486680.13</v>
      </c>
      <c r="I35" s="264">
        <v>486680.13</v>
      </c>
    </row>
    <row r="36" spans="1:9" x14ac:dyDescent="0.35">
      <c r="A36" s="258" t="s">
        <v>237</v>
      </c>
      <c r="B36" s="260"/>
      <c r="C36" s="260"/>
      <c r="D36" s="260"/>
      <c r="E36" s="260"/>
      <c r="F36" s="260"/>
      <c r="G36" s="265">
        <v>5404.38</v>
      </c>
      <c r="H36" s="264">
        <v>380628.76</v>
      </c>
      <c r="I36" s="264">
        <v>386033.14</v>
      </c>
    </row>
    <row r="37" spans="1:9" x14ac:dyDescent="0.35">
      <c r="A37" s="258" t="s">
        <v>238</v>
      </c>
      <c r="B37" s="260"/>
      <c r="C37" s="260"/>
      <c r="D37" s="260"/>
      <c r="E37" s="260"/>
      <c r="F37" s="260"/>
      <c r="G37" s="264">
        <v>202664.07</v>
      </c>
      <c r="H37" s="264">
        <v>112551.33</v>
      </c>
      <c r="I37" s="264">
        <v>315215.40000000002</v>
      </c>
    </row>
    <row r="38" spans="1:9" x14ac:dyDescent="0.35">
      <c r="A38" s="266" t="s">
        <v>239</v>
      </c>
      <c r="B38" s="267">
        <v>348473.55</v>
      </c>
      <c r="C38" s="248"/>
      <c r="D38" s="248"/>
      <c r="E38" s="248"/>
      <c r="F38" s="248"/>
      <c r="G38" s="248"/>
      <c r="H38" s="248"/>
      <c r="I38" s="277">
        <v>348473.55</v>
      </c>
    </row>
    <row r="39" spans="1:9" x14ac:dyDescent="0.35">
      <c r="A39" s="258" t="s">
        <v>240</v>
      </c>
      <c r="B39" s="260"/>
      <c r="C39" s="260"/>
      <c r="D39" s="260"/>
      <c r="E39" s="260"/>
      <c r="F39" s="259">
        <v>60392.61</v>
      </c>
      <c r="G39" s="264">
        <v>640560.13</v>
      </c>
      <c r="H39" s="264">
        <v>649626.85</v>
      </c>
      <c r="I39" s="263">
        <v>1350579.59</v>
      </c>
    </row>
    <row r="40" spans="1:9" x14ac:dyDescent="0.35">
      <c r="A40" s="258" t="s">
        <v>241</v>
      </c>
      <c r="B40" s="263">
        <v>4343539.76</v>
      </c>
      <c r="C40" s="259">
        <v>56838.6</v>
      </c>
      <c r="D40" s="259">
        <v>62396.1</v>
      </c>
      <c r="E40" s="259">
        <v>60383.3</v>
      </c>
      <c r="F40" s="259">
        <v>62396.1</v>
      </c>
      <c r="G40" s="259">
        <v>60383.3</v>
      </c>
      <c r="H40" s="259">
        <v>48306.7</v>
      </c>
      <c r="I40" s="263">
        <v>4694243.8600000003</v>
      </c>
    </row>
    <row r="41" spans="1:9" x14ac:dyDescent="0.35">
      <c r="A41" s="258" t="s">
        <v>242</v>
      </c>
      <c r="B41" s="260"/>
      <c r="C41" s="265">
        <v>4231.2299999999996</v>
      </c>
      <c r="D41" s="265">
        <v>2180.2199999999998</v>
      </c>
      <c r="E41" s="265">
        <v>4541.2700000000004</v>
      </c>
      <c r="F41" s="259">
        <v>33180.910000000003</v>
      </c>
      <c r="G41" s="259">
        <v>32022.61</v>
      </c>
      <c r="H41" s="259">
        <v>40057.699999999997</v>
      </c>
      <c r="I41" s="264">
        <v>116213.94</v>
      </c>
    </row>
    <row r="42" spans="1:9" x14ac:dyDescent="0.35">
      <c r="A42" s="258" t="s">
        <v>243</v>
      </c>
      <c r="B42" s="260"/>
      <c r="C42" s="260"/>
      <c r="D42" s="260"/>
      <c r="E42" s="260"/>
      <c r="F42" s="260"/>
      <c r="G42" s="260"/>
      <c r="H42" s="259">
        <v>33580.47</v>
      </c>
      <c r="I42" s="259">
        <v>33580.47</v>
      </c>
    </row>
    <row r="43" spans="1:9" x14ac:dyDescent="0.35">
      <c r="A43" s="258" t="s">
        <v>132</v>
      </c>
      <c r="B43" s="264">
        <v>265815.23</v>
      </c>
      <c r="C43" s="260"/>
      <c r="D43" s="260"/>
      <c r="E43" s="260"/>
      <c r="F43" s="260"/>
      <c r="G43" s="260"/>
      <c r="H43" s="260"/>
      <c r="I43" s="264">
        <v>265815.23</v>
      </c>
    </row>
    <row r="44" spans="1:9" x14ac:dyDescent="0.35">
      <c r="A44" s="258" t="s">
        <v>87</v>
      </c>
      <c r="B44" s="264">
        <v>174257.04</v>
      </c>
      <c r="C44" s="260"/>
      <c r="D44" s="265">
        <v>8300.57</v>
      </c>
      <c r="E44" s="260"/>
      <c r="F44" s="260"/>
      <c r="G44" s="260"/>
      <c r="H44" s="260"/>
      <c r="I44" s="264">
        <v>182557.61</v>
      </c>
    </row>
    <row r="45" spans="1:9" x14ac:dyDescent="0.35">
      <c r="A45" s="258" t="s">
        <v>135</v>
      </c>
      <c r="B45" s="265">
        <v>5834.62</v>
      </c>
      <c r="C45" s="260"/>
      <c r="D45" s="260"/>
      <c r="E45" s="260"/>
      <c r="F45" s="260"/>
      <c r="G45" s="260"/>
      <c r="H45" s="260"/>
      <c r="I45" s="265">
        <v>5834.62</v>
      </c>
    </row>
    <row r="46" spans="1:9" x14ac:dyDescent="0.35">
      <c r="A46" s="258" t="s">
        <v>244</v>
      </c>
      <c r="B46" s="264">
        <v>278310.13</v>
      </c>
      <c r="C46" s="264">
        <v>162587.93</v>
      </c>
      <c r="D46" s="259">
        <v>67545.5</v>
      </c>
      <c r="E46" s="259">
        <v>39269.74</v>
      </c>
      <c r="F46" s="259">
        <v>40249.68</v>
      </c>
      <c r="G46" s="259">
        <v>39586.99</v>
      </c>
      <c r="H46" s="259">
        <v>33593.19</v>
      </c>
      <c r="I46" s="264">
        <v>661143.16</v>
      </c>
    </row>
    <row r="47" spans="1:9" x14ac:dyDescent="0.35">
      <c r="A47" s="258" t="s">
        <v>245</v>
      </c>
      <c r="B47" s="259">
        <v>41234.68</v>
      </c>
      <c r="C47" s="260"/>
      <c r="D47" s="260"/>
      <c r="E47" s="260"/>
      <c r="F47" s="260"/>
      <c r="G47" s="260"/>
      <c r="H47" s="260"/>
      <c r="I47" s="259">
        <v>41234.68</v>
      </c>
    </row>
    <row r="48" spans="1:9" x14ac:dyDescent="0.35">
      <c r="A48" s="258" t="s">
        <v>246</v>
      </c>
      <c r="B48" s="260"/>
      <c r="C48" s="260"/>
      <c r="D48" s="260"/>
      <c r="E48" s="260"/>
      <c r="F48" s="260"/>
      <c r="G48" s="264">
        <v>145699.99</v>
      </c>
      <c r="H48" s="263">
        <v>1276165.95</v>
      </c>
      <c r="I48" s="263">
        <v>1421865.94</v>
      </c>
    </row>
    <row r="49" spans="1:9" x14ac:dyDescent="0.35">
      <c r="A49" s="258" t="s">
        <v>247</v>
      </c>
      <c r="B49" s="260"/>
      <c r="C49" s="260"/>
      <c r="D49" s="260"/>
      <c r="E49" s="260"/>
      <c r="F49" s="264">
        <v>212580.22</v>
      </c>
      <c r="G49" s="264">
        <v>637271.93000000005</v>
      </c>
      <c r="H49" s="264">
        <v>697365.44</v>
      </c>
      <c r="I49" s="263">
        <v>1547217.59</v>
      </c>
    </row>
    <row r="50" spans="1:9" x14ac:dyDescent="0.35">
      <c r="A50" s="258" t="s">
        <v>152</v>
      </c>
      <c r="B50" s="259">
        <v>46506.37</v>
      </c>
      <c r="C50" s="260"/>
      <c r="D50" s="260"/>
      <c r="E50" s="260"/>
      <c r="F50" s="260"/>
      <c r="G50" s="260"/>
      <c r="H50" s="260"/>
      <c r="I50" s="259">
        <v>46506.37</v>
      </c>
    </row>
    <row r="51" spans="1:9" x14ac:dyDescent="0.35">
      <c r="A51" s="258" t="s">
        <v>248</v>
      </c>
      <c r="B51" s="259">
        <v>12233.47</v>
      </c>
      <c r="C51" s="260"/>
      <c r="D51" s="260"/>
      <c r="E51" s="260"/>
      <c r="F51" s="265">
        <v>1934.03</v>
      </c>
      <c r="G51" s="260"/>
      <c r="H51" s="260"/>
      <c r="I51" s="259">
        <v>14167.5</v>
      </c>
    </row>
    <row r="52" spans="1:9" x14ac:dyDescent="0.35">
      <c r="A52" s="258" t="s">
        <v>249</v>
      </c>
      <c r="B52" s="264">
        <v>368412.91</v>
      </c>
      <c r="C52" s="259">
        <v>24970.73</v>
      </c>
      <c r="D52" s="259">
        <v>28068.5</v>
      </c>
      <c r="E52" s="259">
        <v>28211.62</v>
      </c>
      <c r="F52" s="259">
        <v>28911.86</v>
      </c>
      <c r="G52" s="259">
        <v>29015.21</v>
      </c>
      <c r="H52" s="259">
        <v>21783.439999999999</v>
      </c>
      <c r="I52" s="264">
        <v>529374.27</v>
      </c>
    </row>
    <row r="53" spans="1:9" x14ac:dyDescent="0.35">
      <c r="A53" s="258" t="s">
        <v>250</v>
      </c>
      <c r="B53" s="260"/>
      <c r="C53" s="260"/>
      <c r="D53" s="260"/>
      <c r="E53" s="260"/>
      <c r="F53" s="260"/>
      <c r="G53" s="260"/>
      <c r="H53" s="259">
        <v>21980.79</v>
      </c>
      <c r="I53" s="259">
        <v>21980.79</v>
      </c>
    </row>
    <row r="54" spans="1:9" x14ac:dyDescent="0.35">
      <c r="A54" s="258" t="s">
        <v>251</v>
      </c>
      <c r="B54" s="264">
        <v>143834.67000000001</v>
      </c>
      <c r="C54" s="260"/>
      <c r="D54" s="260"/>
      <c r="E54" s="260"/>
      <c r="F54" s="260"/>
      <c r="G54" s="260"/>
      <c r="H54" s="260"/>
      <c r="I54" s="264">
        <v>143834.67000000001</v>
      </c>
    </row>
    <row r="55" spans="1:9" x14ac:dyDescent="0.35">
      <c r="A55" s="258" t="s">
        <v>252</v>
      </c>
      <c r="B55" s="260"/>
      <c r="C55" s="260"/>
      <c r="D55" s="260"/>
      <c r="E55" s="260"/>
      <c r="F55" s="259">
        <v>49104</v>
      </c>
      <c r="G55" s="264">
        <v>237336</v>
      </c>
      <c r="H55" s="264">
        <v>237336</v>
      </c>
      <c r="I55" s="264">
        <v>523776</v>
      </c>
    </row>
    <row r="56" spans="1:9" x14ac:dyDescent="0.35">
      <c r="A56" s="258" t="s">
        <v>112</v>
      </c>
      <c r="B56" s="259">
        <v>54257.82</v>
      </c>
      <c r="C56" s="260"/>
      <c r="D56" s="260"/>
      <c r="E56" s="260"/>
      <c r="F56" s="260"/>
      <c r="G56" s="260"/>
      <c r="H56" s="265">
        <v>5205.55</v>
      </c>
      <c r="I56" s="259">
        <v>59463.37</v>
      </c>
    </row>
    <row r="57" spans="1:9" x14ac:dyDescent="0.35">
      <c r="A57" s="258" t="s">
        <v>253</v>
      </c>
      <c r="B57" s="260"/>
      <c r="C57" s="260"/>
      <c r="D57" s="265">
        <v>1100.4100000000001</v>
      </c>
      <c r="E57" s="259">
        <v>63165.93</v>
      </c>
      <c r="F57" s="264">
        <v>289720.82</v>
      </c>
      <c r="G57" s="264">
        <v>272842.53999999998</v>
      </c>
      <c r="H57" s="264">
        <v>278577.49</v>
      </c>
      <c r="I57" s="264">
        <v>905407.19</v>
      </c>
    </row>
    <row r="58" spans="1:9" x14ac:dyDescent="0.35">
      <c r="A58" s="258" t="s">
        <v>254</v>
      </c>
      <c r="B58" s="259">
        <v>39536.449999999997</v>
      </c>
      <c r="C58" s="260"/>
      <c r="D58" s="260"/>
      <c r="E58" s="260"/>
      <c r="F58" s="260"/>
      <c r="G58" s="260"/>
      <c r="H58" s="260"/>
      <c r="I58" s="259">
        <v>39536.449999999997</v>
      </c>
    </row>
    <row r="59" spans="1:9" x14ac:dyDescent="0.35">
      <c r="A59" s="258" t="s">
        <v>255</v>
      </c>
      <c r="B59" s="260"/>
      <c r="C59" s="260"/>
      <c r="D59" s="260"/>
      <c r="E59" s="259">
        <v>67411.8</v>
      </c>
      <c r="F59" s="264">
        <v>239793.18</v>
      </c>
      <c r="G59" s="264">
        <v>268117.93</v>
      </c>
      <c r="H59" s="264">
        <v>234741.01</v>
      </c>
      <c r="I59" s="264">
        <v>810063.92</v>
      </c>
    </row>
    <row r="60" spans="1:9" x14ac:dyDescent="0.35">
      <c r="A60" s="258" t="s">
        <v>122</v>
      </c>
      <c r="B60" s="265">
        <v>7469.62</v>
      </c>
      <c r="C60" s="260"/>
      <c r="D60" s="260"/>
      <c r="E60" s="260"/>
      <c r="F60" s="260"/>
      <c r="G60" s="260"/>
      <c r="H60" s="260"/>
      <c r="I60" s="265">
        <v>7469.62</v>
      </c>
    </row>
    <row r="61" spans="1:9" x14ac:dyDescent="0.35">
      <c r="A61" s="258" t="s">
        <v>256</v>
      </c>
      <c r="B61" s="260"/>
      <c r="C61" s="260"/>
      <c r="D61" s="260"/>
      <c r="E61" s="260"/>
      <c r="F61" s="265">
        <v>-7943.9</v>
      </c>
      <c r="G61" s="264">
        <v>-137867.46</v>
      </c>
      <c r="H61" s="259">
        <v>-91994.05</v>
      </c>
      <c r="I61" s="264">
        <v>-237805.41</v>
      </c>
    </row>
    <row r="62" spans="1:9" x14ac:dyDescent="0.35">
      <c r="A62" s="258" t="s">
        <v>257</v>
      </c>
      <c r="B62" s="259">
        <v>63787.14</v>
      </c>
      <c r="C62" s="264">
        <v>123376.34</v>
      </c>
      <c r="D62" s="264">
        <v>133178.42000000001</v>
      </c>
      <c r="E62" s="264">
        <v>112005.35</v>
      </c>
      <c r="F62" s="264">
        <v>105342.86</v>
      </c>
      <c r="G62" s="264">
        <v>104219.71</v>
      </c>
      <c r="H62" s="264">
        <v>108598.83</v>
      </c>
      <c r="I62" s="264">
        <v>750508.65</v>
      </c>
    </row>
    <row r="63" spans="1:9" x14ac:dyDescent="0.35">
      <c r="A63" s="258" t="s">
        <v>258</v>
      </c>
      <c r="B63" s="260"/>
      <c r="C63" s="260"/>
      <c r="D63" s="260"/>
      <c r="E63" s="260"/>
      <c r="F63" s="260"/>
      <c r="G63" s="264">
        <v>120402.62</v>
      </c>
      <c r="H63" s="264">
        <v>350279.31</v>
      </c>
      <c r="I63" s="264">
        <v>470681.93</v>
      </c>
    </row>
    <row r="64" spans="1:9" x14ac:dyDescent="0.35">
      <c r="A64" s="258" t="s">
        <v>259</v>
      </c>
      <c r="B64" s="264">
        <v>601348.67000000004</v>
      </c>
      <c r="C64" s="259">
        <v>32847.629999999997</v>
      </c>
      <c r="D64" s="259">
        <v>34955.1</v>
      </c>
      <c r="E64" s="259">
        <v>33474.14</v>
      </c>
      <c r="F64" s="259">
        <v>36201.480000000003</v>
      </c>
      <c r="G64" s="259">
        <v>35278.19</v>
      </c>
      <c r="H64" s="259">
        <v>26875.23</v>
      </c>
      <c r="I64" s="264">
        <v>800980.44</v>
      </c>
    </row>
    <row r="65" spans="1:9" x14ac:dyDescent="0.35">
      <c r="A65" s="258" t="s">
        <v>260</v>
      </c>
      <c r="B65" s="260"/>
      <c r="C65" s="260"/>
      <c r="D65" s="260"/>
      <c r="E65" s="260"/>
      <c r="F65" s="260"/>
      <c r="G65" s="264">
        <v>446455.82</v>
      </c>
      <c r="H65" s="264">
        <v>411489.15</v>
      </c>
      <c r="I65" s="264">
        <v>857944.97</v>
      </c>
    </row>
    <row r="66" spans="1:9" x14ac:dyDescent="0.35">
      <c r="A66" s="258" t="s">
        <v>261</v>
      </c>
      <c r="B66" s="264">
        <v>916294.43</v>
      </c>
      <c r="C66" s="260"/>
      <c r="D66" s="260"/>
      <c r="E66" s="260"/>
      <c r="F66" s="260"/>
      <c r="G66" s="260"/>
      <c r="H66" s="260"/>
      <c r="I66" s="264">
        <v>916294.43</v>
      </c>
    </row>
    <row r="67" spans="1:9" x14ac:dyDescent="0.35">
      <c r="A67" s="258" t="s">
        <v>262</v>
      </c>
      <c r="B67" s="260"/>
      <c r="C67" s="260"/>
      <c r="D67" s="260"/>
      <c r="E67" s="260"/>
      <c r="F67" s="260"/>
      <c r="G67" s="259">
        <v>18140.29</v>
      </c>
      <c r="H67" s="259">
        <v>46605.93</v>
      </c>
      <c r="I67" s="259">
        <v>64746.22</v>
      </c>
    </row>
    <row r="68" spans="1:9" x14ac:dyDescent="0.35">
      <c r="A68" s="258" t="s">
        <v>263</v>
      </c>
      <c r="B68" s="260"/>
      <c r="C68" s="260"/>
      <c r="D68" s="260"/>
      <c r="E68" s="259">
        <v>19498.509999999998</v>
      </c>
      <c r="F68" s="259">
        <v>22351.48</v>
      </c>
      <c r="G68" s="259">
        <v>18220.439999999999</v>
      </c>
      <c r="H68" s="265">
        <v>7940.39</v>
      </c>
      <c r="I68" s="259">
        <v>68010.820000000007</v>
      </c>
    </row>
    <row r="69" spans="1:9" x14ac:dyDescent="0.35">
      <c r="A69" s="258" t="s">
        <v>264</v>
      </c>
      <c r="B69" s="260"/>
      <c r="C69" s="260"/>
      <c r="D69" s="260"/>
      <c r="E69" s="264">
        <v>409961.98</v>
      </c>
      <c r="F69" s="264">
        <v>457200.14</v>
      </c>
      <c r="G69" s="264">
        <v>450435</v>
      </c>
      <c r="H69" s="264">
        <v>395945.83</v>
      </c>
      <c r="I69" s="263">
        <v>1713542.95</v>
      </c>
    </row>
    <row r="70" spans="1:9" x14ac:dyDescent="0.35">
      <c r="A70" s="258" t="s">
        <v>265</v>
      </c>
      <c r="B70" s="264">
        <v>133136.38</v>
      </c>
      <c r="C70" s="259">
        <v>40410</v>
      </c>
      <c r="D70" s="259">
        <v>59350.080000000002</v>
      </c>
      <c r="E70" s="264">
        <v>118981.19</v>
      </c>
      <c r="F70" s="259">
        <v>33205.15</v>
      </c>
      <c r="G70" s="259">
        <v>35806.620000000003</v>
      </c>
      <c r="H70" s="259">
        <v>30970.51</v>
      </c>
      <c r="I70" s="264">
        <v>451859.93</v>
      </c>
    </row>
    <row r="71" spans="1:9" x14ac:dyDescent="0.35">
      <c r="A71" s="258" t="s">
        <v>266</v>
      </c>
      <c r="B71" s="260"/>
      <c r="C71" s="260"/>
      <c r="D71" s="264">
        <v>824873.85</v>
      </c>
      <c r="E71" s="263">
        <v>2642278.71</v>
      </c>
      <c r="F71" s="263">
        <v>2238993.09</v>
      </c>
      <c r="G71" s="263">
        <v>2150117.9700000002</v>
      </c>
      <c r="H71" s="263">
        <v>2483365.15</v>
      </c>
      <c r="I71" s="262">
        <v>10339628.77</v>
      </c>
    </row>
    <row r="72" spans="1:9" x14ac:dyDescent="0.35">
      <c r="A72" s="258" t="s">
        <v>267</v>
      </c>
      <c r="B72" s="260"/>
      <c r="C72" s="260"/>
      <c r="D72" s="260"/>
      <c r="E72" s="260"/>
      <c r="F72" s="265">
        <v>5923.29</v>
      </c>
      <c r="G72" s="264">
        <v>138699.87</v>
      </c>
      <c r="H72" s="264">
        <v>111975.4</v>
      </c>
      <c r="I72" s="264">
        <v>256598.56</v>
      </c>
    </row>
    <row r="73" spans="1:9" x14ac:dyDescent="0.35">
      <c r="A73" s="258" t="s">
        <v>268</v>
      </c>
      <c r="B73" s="260"/>
      <c r="C73" s="263">
        <v>2386539.5299999998</v>
      </c>
      <c r="D73" s="263">
        <v>5969863.5800000001</v>
      </c>
      <c r="E73" s="263">
        <v>7287890.0700000003</v>
      </c>
      <c r="F73" s="263">
        <v>4606328.67</v>
      </c>
      <c r="G73" s="263">
        <v>4545330.6900000004</v>
      </c>
      <c r="H73" s="263">
        <v>5058226.6500000004</v>
      </c>
      <c r="I73" s="262">
        <v>29854179.190000001</v>
      </c>
    </row>
    <row r="74" spans="1:9" x14ac:dyDescent="0.35">
      <c r="A74" s="258" t="s">
        <v>269</v>
      </c>
      <c r="B74" s="260"/>
      <c r="C74" s="260"/>
      <c r="D74" s="260"/>
      <c r="E74" s="260"/>
      <c r="F74" s="260"/>
      <c r="G74" s="259">
        <v>83016.52</v>
      </c>
      <c r="H74" s="264">
        <v>280137.08</v>
      </c>
      <c r="I74" s="264">
        <v>363153.6</v>
      </c>
    </row>
    <row r="75" spans="1:9" x14ac:dyDescent="0.35">
      <c r="A75" s="258" t="s">
        <v>270</v>
      </c>
      <c r="B75" s="260"/>
      <c r="C75" s="260"/>
      <c r="D75" s="260"/>
      <c r="E75" s="259">
        <v>90127.35</v>
      </c>
      <c r="F75" s="264">
        <v>461781.17</v>
      </c>
      <c r="G75" s="264">
        <v>455473.18</v>
      </c>
      <c r="H75" s="264">
        <v>470704.27</v>
      </c>
      <c r="I75" s="263">
        <v>1478085.97</v>
      </c>
    </row>
    <row r="76" spans="1:9" x14ac:dyDescent="0.35">
      <c r="A76" s="258" t="s">
        <v>271</v>
      </c>
      <c r="B76" s="264">
        <v>637925.14</v>
      </c>
      <c r="C76" s="259">
        <v>88813.41</v>
      </c>
      <c r="D76" s="264">
        <v>179054.78</v>
      </c>
      <c r="E76" s="259">
        <v>69463.039999999994</v>
      </c>
      <c r="F76" s="259">
        <v>73982.47</v>
      </c>
      <c r="G76" s="259">
        <v>69319.679999999993</v>
      </c>
      <c r="H76" s="264">
        <v>107302.08</v>
      </c>
      <c r="I76" s="263">
        <v>1225860.6000000001</v>
      </c>
    </row>
    <row r="77" spans="1:9" x14ac:dyDescent="0.35">
      <c r="A77" s="258" t="s">
        <v>272</v>
      </c>
      <c r="B77" s="260"/>
      <c r="C77" s="260"/>
      <c r="D77" s="260"/>
      <c r="E77" s="260"/>
      <c r="F77" s="260"/>
      <c r="G77" s="265">
        <v>9249.81</v>
      </c>
      <c r="H77" s="264">
        <v>234927.99</v>
      </c>
      <c r="I77" s="264">
        <v>244177.8</v>
      </c>
    </row>
    <row r="78" spans="1:9" x14ac:dyDescent="0.35">
      <c r="A78" s="258" t="s">
        <v>273</v>
      </c>
      <c r="B78" s="260"/>
      <c r="C78" s="260"/>
      <c r="D78" s="260"/>
      <c r="E78" s="261">
        <v>641.61</v>
      </c>
      <c r="F78" s="265">
        <v>6651.73</v>
      </c>
      <c r="G78" s="265">
        <v>5842.73</v>
      </c>
      <c r="H78" s="265">
        <v>5112.0600000000004</v>
      </c>
      <c r="I78" s="259">
        <v>18248.13</v>
      </c>
    </row>
    <row r="79" spans="1:9" x14ac:dyDescent="0.35">
      <c r="A79" s="258" t="s">
        <v>274</v>
      </c>
      <c r="B79" s="260"/>
      <c r="C79" s="260"/>
      <c r="D79" s="260"/>
      <c r="E79" s="260"/>
      <c r="F79" s="264">
        <v>416469.3</v>
      </c>
      <c r="G79" s="264">
        <v>950539.3</v>
      </c>
      <c r="H79" s="263">
        <v>1139267.93</v>
      </c>
      <c r="I79" s="263">
        <v>2506276.5299999998</v>
      </c>
    </row>
    <row r="80" spans="1:9" x14ac:dyDescent="0.35">
      <c r="A80" s="258" t="s">
        <v>275</v>
      </c>
      <c r="B80" s="264">
        <v>769255.83</v>
      </c>
      <c r="C80" s="259">
        <v>14503.25</v>
      </c>
      <c r="D80" s="259">
        <v>14102.59</v>
      </c>
      <c r="E80" s="259">
        <v>12439.63</v>
      </c>
      <c r="F80" s="259">
        <v>10717.8</v>
      </c>
      <c r="G80" s="265">
        <v>8750.3700000000008</v>
      </c>
      <c r="H80" s="265">
        <v>2759.76</v>
      </c>
      <c r="I80" s="264">
        <v>832529.23</v>
      </c>
    </row>
    <row r="81" spans="1:9" x14ac:dyDescent="0.35">
      <c r="A81" s="258" t="s">
        <v>276</v>
      </c>
      <c r="B81" s="260"/>
      <c r="C81" s="260"/>
      <c r="D81" s="260"/>
      <c r="E81" s="260"/>
      <c r="F81" s="260"/>
      <c r="G81" s="259">
        <v>64850.6</v>
      </c>
      <c r="H81" s="264">
        <v>140847.74</v>
      </c>
      <c r="I81" s="264">
        <v>205698.34</v>
      </c>
    </row>
    <row r="82" spans="1:9" x14ac:dyDescent="0.35">
      <c r="A82" s="258" t="s">
        <v>277</v>
      </c>
      <c r="B82" s="260"/>
      <c r="C82" s="260"/>
      <c r="D82" s="260"/>
      <c r="E82" s="260"/>
      <c r="F82" s="259">
        <v>57469.73</v>
      </c>
      <c r="G82" s="259">
        <v>87537.32</v>
      </c>
      <c r="H82" s="259">
        <v>88135.13</v>
      </c>
      <c r="I82" s="264">
        <v>233142.18</v>
      </c>
    </row>
    <row r="83" spans="1:9" x14ac:dyDescent="0.35">
      <c r="A83" s="258" t="s">
        <v>278</v>
      </c>
      <c r="B83" s="260"/>
      <c r="C83" s="260"/>
      <c r="D83" s="260"/>
      <c r="E83" s="260"/>
      <c r="F83" s="260"/>
      <c r="G83" s="263">
        <v>1897543.76</v>
      </c>
      <c r="H83" s="263">
        <v>2783894.94</v>
      </c>
      <c r="I83" s="263">
        <v>4681438.7</v>
      </c>
    </row>
    <row r="84" spans="1:9" x14ac:dyDescent="0.35">
      <c r="A84" s="258" t="s">
        <v>279</v>
      </c>
      <c r="B84" s="260"/>
      <c r="C84" s="260"/>
      <c r="D84" s="260"/>
      <c r="E84" s="260"/>
      <c r="F84" s="264">
        <v>120578.51</v>
      </c>
      <c r="G84" s="264">
        <v>184170.06</v>
      </c>
      <c r="H84" s="264">
        <v>239298.22</v>
      </c>
      <c r="I84" s="264">
        <v>544046.79</v>
      </c>
    </row>
    <row r="85" spans="1:9" x14ac:dyDescent="0.35">
      <c r="A85" s="266" t="s">
        <v>280</v>
      </c>
      <c r="B85" s="248"/>
      <c r="C85" s="248"/>
      <c r="D85" s="248"/>
      <c r="E85" s="248"/>
      <c r="F85" s="248"/>
      <c r="G85" s="248"/>
      <c r="H85" s="268">
        <v>-1275812.81</v>
      </c>
      <c r="I85" s="268">
        <v>-1275812.81</v>
      </c>
    </row>
    <row r="86" spans="1:9" x14ac:dyDescent="0.35">
      <c r="A86" s="258" t="s">
        <v>281</v>
      </c>
      <c r="B86" s="260"/>
      <c r="C86" s="260"/>
      <c r="D86" s="260"/>
      <c r="E86" s="260"/>
      <c r="F86" s="264">
        <v>344883.41</v>
      </c>
      <c r="G86" s="263">
        <v>1189241.57</v>
      </c>
      <c r="H86" s="263">
        <v>1259751.57</v>
      </c>
      <c r="I86" s="263">
        <v>2793876.55</v>
      </c>
    </row>
    <row r="87" spans="1:9" x14ac:dyDescent="0.35">
      <c r="A87" s="258" t="s">
        <v>282</v>
      </c>
      <c r="B87" s="260"/>
      <c r="C87" s="260"/>
      <c r="D87" s="260"/>
      <c r="E87" s="259">
        <v>50893.02</v>
      </c>
      <c r="F87" s="260"/>
      <c r="G87" s="260"/>
      <c r="H87" s="260"/>
      <c r="I87" s="259">
        <v>50893.02</v>
      </c>
    </row>
    <row r="88" spans="1:9" x14ac:dyDescent="0.35">
      <c r="A88" s="258" t="s">
        <v>283</v>
      </c>
      <c r="B88" s="263">
        <v>4309043.07</v>
      </c>
      <c r="C88" s="264">
        <v>321370.06</v>
      </c>
      <c r="D88" s="264">
        <v>322309.5</v>
      </c>
      <c r="E88" s="264">
        <v>321996.34999999998</v>
      </c>
      <c r="F88" s="264">
        <v>322309.5</v>
      </c>
      <c r="G88" s="264">
        <v>321996.34999999998</v>
      </c>
      <c r="H88" s="264">
        <v>320117.46000000002</v>
      </c>
      <c r="I88" s="263">
        <v>6239142.29</v>
      </c>
    </row>
    <row r="89" spans="1:9" x14ac:dyDescent="0.35">
      <c r="A89" s="258" t="s">
        <v>284</v>
      </c>
      <c r="B89" s="259">
        <v>-21934.1</v>
      </c>
      <c r="C89" s="260"/>
      <c r="D89" s="260"/>
      <c r="E89" s="260"/>
      <c r="F89" s="260"/>
      <c r="G89" s="260"/>
      <c r="H89" s="260"/>
      <c r="I89" s="259">
        <v>-21934.1</v>
      </c>
    </row>
    <row r="90" spans="1:9" x14ac:dyDescent="0.35">
      <c r="A90" s="258" t="s">
        <v>285</v>
      </c>
      <c r="B90" s="263">
        <v>2902581.51</v>
      </c>
      <c r="C90" s="260"/>
      <c r="D90" s="260"/>
      <c r="E90" s="260"/>
      <c r="F90" s="260"/>
      <c r="G90" s="260"/>
      <c r="H90" s="260"/>
      <c r="I90" s="276">
        <v>2902581.51</v>
      </c>
    </row>
    <row r="91" spans="1:9" x14ac:dyDescent="0.35">
      <c r="A91" s="258" t="s">
        <v>286</v>
      </c>
      <c r="B91" s="260"/>
      <c r="C91" s="260"/>
      <c r="D91" s="260"/>
      <c r="E91" s="260"/>
      <c r="F91" s="263">
        <v>1448948.48</v>
      </c>
      <c r="G91" s="263">
        <v>2060340.69</v>
      </c>
      <c r="H91" s="263">
        <v>2262185.5299999998</v>
      </c>
      <c r="I91" s="263">
        <v>5771474.7000000002</v>
      </c>
    </row>
    <row r="92" spans="1:9" x14ac:dyDescent="0.35">
      <c r="A92" s="258" t="s">
        <v>287</v>
      </c>
      <c r="B92" s="260"/>
      <c r="C92" s="260"/>
      <c r="D92" s="260"/>
      <c r="E92" s="260"/>
      <c r="F92" s="260"/>
      <c r="G92" s="260"/>
      <c r="H92" s="263">
        <v>2910057.23</v>
      </c>
      <c r="I92" s="263">
        <v>2910057.23</v>
      </c>
    </row>
    <row r="93" spans="1:9" x14ac:dyDescent="0.35">
      <c r="A93" s="258" t="s">
        <v>288</v>
      </c>
      <c r="B93" s="264">
        <v>552626.77</v>
      </c>
      <c r="C93" s="259">
        <v>45398.19</v>
      </c>
      <c r="D93" s="259">
        <v>38450.04</v>
      </c>
      <c r="E93" s="265">
        <v>8692.2999999999993</v>
      </c>
      <c r="F93" s="259">
        <v>20131.43</v>
      </c>
      <c r="G93" s="259">
        <v>20473.45</v>
      </c>
      <c r="H93" s="259">
        <v>20199.95</v>
      </c>
      <c r="I93" s="264">
        <v>705972.13</v>
      </c>
    </row>
    <row r="94" spans="1:9" x14ac:dyDescent="0.35">
      <c r="A94" s="258" t="s">
        <v>123</v>
      </c>
      <c r="B94" s="269">
        <v>2</v>
      </c>
      <c r="C94" s="260"/>
      <c r="D94" s="260"/>
      <c r="E94" s="260"/>
      <c r="F94" s="260"/>
      <c r="G94" s="260"/>
      <c r="H94" s="260"/>
      <c r="I94" s="269">
        <v>2</v>
      </c>
    </row>
    <row r="95" spans="1:9" x14ac:dyDescent="0.35">
      <c r="A95" s="258" t="s">
        <v>289</v>
      </c>
      <c r="B95" s="260"/>
      <c r="C95" s="260"/>
      <c r="D95" s="260"/>
      <c r="E95" s="260"/>
      <c r="F95" s="260"/>
      <c r="G95" s="264">
        <v>306372.58</v>
      </c>
      <c r="H95" s="264">
        <v>519776.16</v>
      </c>
      <c r="I95" s="264">
        <v>826148.74</v>
      </c>
    </row>
    <row r="96" spans="1:9" x14ac:dyDescent="0.35">
      <c r="A96" s="270" t="s">
        <v>290</v>
      </c>
      <c r="B96" s="271">
        <v>86725568.489999995</v>
      </c>
      <c r="C96" s="271">
        <v>11867413.800000001</v>
      </c>
      <c r="D96" s="271">
        <v>30885682.34</v>
      </c>
      <c r="E96" s="271">
        <v>27825559.07</v>
      </c>
      <c r="F96" s="271">
        <v>39129303.960000001</v>
      </c>
      <c r="G96" s="271">
        <v>53021662.619999997</v>
      </c>
      <c r="H96" s="271">
        <v>56796882.259999998</v>
      </c>
      <c r="I96" s="272">
        <v>306252072.54000002</v>
      </c>
    </row>
    <row r="98" spans="9:9" x14ac:dyDescent="0.35">
      <c r="I98" s="27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9"/>
  <sheetViews>
    <sheetView topLeftCell="A28" workbookViewId="0">
      <selection activeCell="L47" sqref="L47"/>
    </sheetView>
  </sheetViews>
  <sheetFormatPr defaultRowHeight="14.5" x14ac:dyDescent="0.35"/>
  <cols>
    <col min="1" max="1" width="66" customWidth="1"/>
    <col min="2" max="2" width="15.453125" hidden="1" customWidth="1"/>
    <col min="3" max="3" width="14.36328125" hidden="1" customWidth="1"/>
    <col min="4" max="4" width="14.453125" hidden="1" customWidth="1"/>
    <col min="5" max="5" width="18.36328125" hidden="1" customWidth="1"/>
    <col min="6" max="6" width="17.36328125" hidden="1" customWidth="1"/>
    <col min="7" max="7" width="17.453125" hidden="1" customWidth="1"/>
    <col min="8" max="8" width="20.36328125" hidden="1" customWidth="1"/>
    <col min="9" max="9" width="16.90625" customWidth="1"/>
    <col min="10" max="10" width="13.36328125" bestFit="1" customWidth="1"/>
  </cols>
  <sheetData>
    <row r="1" spans="1:9" ht="15.5" x14ac:dyDescent="0.35">
      <c r="A1" s="147" t="s">
        <v>104</v>
      </c>
      <c r="B1" s="148">
        <v>19279.3</v>
      </c>
      <c r="C1" s="149"/>
      <c r="D1" s="149"/>
      <c r="E1" s="149"/>
      <c r="F1" s="149"/>
      <c r="G1" s="149"/>
      <c r="H1" s="149"/>
      <c r="I1" s="148">
        <f>H1+G1+F1+E1+D1+C1+B1</f>
        <v>19279.3</v>
      </c>
    </row>
    <row r="2" spans="1:9" ht="15.5" x14ac:dyDescent="0.35">
      <c r="A2" s="147" t="s">
        <v>131</v>
      </c>
      <c r="B2" s="148">
        <v>873.27</v>
      </c>
      <c r="C2" s="149"/>
      <c r="D2" s="149"/>
      <c r="E2" s="149"/>
      <c r="F2" s="149"/>
      <c r="G2" s="149"/>
      <c r="H2" s="149"/>
      <c r="I2" s="148">
        <f t="shared" ref="I2:I65" si="0">H2+G2+F2+E2+D2+C2+B2</f>
        <v>873.27</v>
      </c>
    </row>
    <row r="3" spans="1:9" ht="15.5" x14ac:dyDescent="0.35">
      <c r="A3" s="127" t="s">
        <v>214</v>
      </c>
      <c r="B3" s="128">
        <v>59339665.75</v>
      </c>
      <c r="C3" s="129"/>
      <c r="D3" s="129"/>
      <c r="E3" s="129"/>
      <c r="F3" s="129"/>
      <c r="G3" s="129"/>
      <c r="H3" s="129"/>
      <c r="I3" s="128">
        <f t="shared" si="0"/>
        <v>59339665.75</v>
      </c>
    </row>
    <row r="4" spans="1:9" ht="15.5" x14ac:dyDescent="0.35">
      <c r="A4" s="144" t="s">
        <v>215</v>
      </c>
      <c r="B4" s="146">
        <v>1156069.6200000001</v>
      </c>
      <c r="C4" s="146"/>
      <c r="D4" s="146">
        <v>0</v>
      </c>
      <c r="E4" s="146"/>
      <c r="F4" s="146">
        <f>969669.02+1011179.28</f>
        <v>1980848.3</v>
      </c>
      <c r="G4" s="145"/>
      <c r="H4" s="145">
        <v>10129504.41</v>
      </c>
      <c r="I4" s="145">
        <f t="shared" si="0"/>
        <v>13266422.330000002</v>
      </c>
    </row>
    <row r="5" spans="1:9" ht="15.5" x14ac:dyDescent="0.35">
      <c r="A5" s="144" t="s">
        <v>216</v>
      </c>
      <c r="B5" s="145">
        <v>979614.88</v>
      </c>
      <c r="C5" s="145">
        <v>1094.81</v>
      </c>
      <c r="D5" s="146"/>
      <c r="E5" s="146"/>
      <c r="F5" s="146"/>
      <c r="G5" s="146"/>
      <c r="H5" s="146"/>
      <c r="I5" s="145">
        <f t="shared" si="0"/>
        <v>980709.69000000006</v>
      </c>
    </row>
    <row r="6" spans="1:9" ht="15.5" x14ac:dyDescent="0.35">
      <c r="A6" s="127" t="s">
        <v>217</v>
      </c>
      <c r="B6" s="129"/>
      <c r="C6" s="128">
        <v>-532681.82999999996</v>
      </c>
      <c r="D6" s="129"/>
      <c r="E6" s="129"/>
      <c r="F6" s="129"/>
      <c r="G6" s="129"/>
      <c r="H6" s="129"/>
      <c r="I6" s="128">
        <f t="shared" si="0"/>
        <v>-532681.82999999996</v>
      </c>
    </row>
    <row r="7" spans="1:9" ht="15.5" x14ac:dyDescent="0.35">
      <c r="A7" s="144" t="s">
        <v>218</v>
      </c>
      <c r="B7" s="146"/>
      <c r="C7" s="146"/>
      <c r="D7" s="146"/>
      <c r="E7" s="146"/>
      <c r="F7" s="146"/>
      <c r="G7" s="145">
        <v>94647.83</v>
      </c>
      <c r="H7" s="145">
        <v>163985.91</v>
      </c>
      <c r="I7" s="145">
        <f t="shared" si="0"/>
        <v>258633.74</v>
      </c>
    </row>
    <row r="8" spans="1:9" ht="15.5" x14ac:dyDescent="0.35">
      <c r="A8" s="144" t="s">
        <v>141</v>
      </c>
      <c r="B8" s="146"/>
      <c r="C8" s="146"/>
      <c r="D8" s="146"/>
      <c r="E8" s="146"/>
      <c r="F8" s="146"/>
      <c r="G8" s="145">
        <v>30182.73</v>
      </c>
      <c r="H8" s="146"/>
      <c r="I8" s="145">
        <f t="shared" si="0"/>
        <v>30182.73</v>
      </c>
    </row>
    <row r="9" spans="1:9" ht="15.5" x14ac:dyDescent="0.35">
      <c r="A9" s="144" t="s">
        <v>219</v>
      </c>
      <c r="B9" s="145">
        <v>25967.67</v>
      </c>
      <c r="C9" s="145">
        <v>295934.09999999998</v>
      </c>
      <c r="D9" s="145">
        <v>308018.74</v>
      </c>
      <c r="E9" s="145">
        <v>291319.14</v>
      </c>
      <c r="F9" s="146">
        <v>3264757.38</v>
      </c>
      <c r="G9" s="145">
        <v>997133.66</v>
      </c>
      <c r="H9" s="145">
        <v>1005070.24</v>
      </c>
      <c r="I9" s="145">
        <f t="shared" si="0"/>
        <v>6188200.9299999988</v>
      </c>
    </row>
    <row r="10" spans="1:9" ht="15.5" x14ac:dyDescent="0.35">
      <c r="A10" s="144" t="s">
        <v>220</v>
      </c>
      <c r="B10" s="145">
        <v>497014.97</v>
      </c>
      <c r="C10" s="145">
        <v>112791.49</v>
      </c>
      <c r="D10" s="145">
        <v>107796.41</v>
      </c>
      <c r="E10" s="145">
        <v>107189.28</v>
      </c>
      <c r="F10" s="146">
        <v>0</v>
      </c>
      <c r="G10" s="145">
        <v>219420.34</v>
      </c>
      <c r="H10" s="145">
        <v>113650.71</v>
      </c>
      <c r="I10" s="145">
        <f t="shared" si="0"/>
        <v>1157863.2</v>
      </c>
    </row>
    <row r="11" spans="1:9" ht="15.5" x14ac:dyDescent="0.35">
      <c r="A11" s="144" t="s">
        <v>116</v>
      </c>
      <c r="B11" s="145">
        <v>395.97</v>
      </c>
      <c r="C11" s="146"/>
      <c r="D11" s="146"/>
      <c r="E11" s="146"/>
      <c r="F11" s="146"/>
      <c r="G11" s="146"/>
      <c r="H11" s="146"/>
      <c r="I11" s="145">
        <f t="shared" si="0"/>
        <v>395.97</v>
      </c>
    </row>
    <row r="12" spans="1:9" ht="15.5" x14ac:dyDescent="0.35">
      <c r="A12" s="144" t="s">
        <v>140</v>
      </c>
      <c r="B12" s="145">
        <v>-0.56000000000000005</v>
      </c>
      <c r="C12" s="146"/>
      <c r="D12" s="146"/>
      <c r="E12" s="146"/>
      <c r="F12" s="146"/>
      <c r="G12" s="146"/>
      <c r="H12" s="146"/>
      <c r="I12" s="145">
        <f t="shared" si="0"/>
        <v>-0.56000000000000005</v>
      </c>
    </row>
    <row r="13" spans="1:9" ht="15.5" x14ac:dyDescent="0.35">
      <c r="A13" s="144" t="s">
        <v>144</v>
      </c>
      <c r="B13" s="145">
        <v>150174.10999999999</v>
      </c>
      <c r="C13" s="145">
        <v>7403.5</v>
      </c>
      <c r="D13" s="145">
        <v>7164.68</v>
      </c>
      <c r="E13" s="145">
        <v>7403.5</v>
      </c>
      <c r="F13" s="146">
        <v>7403.5</v>
      </c>
      <c r="G13" s="145">
        <v>3104.69</v>
      </c>
      <c r="H13" s="146"/>
      <c r="I13" s="145">
        <f t="shared" si="0"/>
        <v>182653.97999999998</v>
      </c>
    </row>
    <row r="14" spans="1:9" ht="15.5" x14ac:dyDescent="0.35">
      <c r="A14" s="144" t="s">
        <v>221</v>
      </c>
      <c r="B14" s="145">
        <v>471246.52</v>
      </c>
      <c r="C14" s="146"/>
      <c r="D14" s="146"/>
      <c r="E14" s="146"/>
      <c r="F14" s="146"/>
      <c r="G14" s="146"/>
      <c r="H14" s="146"/>
      <c r="I14" s="145">
        <f t="shared" si="0"/>
        <v>471246.52</v>
      </c>
    </row>
    <row r="15" spans="1:9" ht="15.5" x14ac:dyDescent="0.35">
      <c r="A15" s="144" t="s">
        <v>291</v>
      </c>
      <c r="B15" s="145">
        <v>274357.3</v>
      </c>
      <c r="C15" s="145">
        <v>18228.68</v>
      </c>
      <c r="D15" s="146"/>
      <c r="E15" s="146"/>
      <c r="F15" s="146"/>
      <c r="G15" s="146"/>
      <c r="H15" s="146"/>
      <c r="I15" s="145">
        <f t="shared" si="0"/>
        <v>292585.98</v>
      </c>
    </row>
    <row r="16" spans="1:9" ht="15.5" x14ac:dyDescent="0.35">
      <c r="A16" s="144" t="s">
        <v>222</v>
      </c>
      <c r="B16" s="146"/>
      <c r="C16" s="146"/>
      <c r="D16" s="146"/>
      <c r="E16" s="146"/>
      <c r="F16" s="146">
        <v>1932768.93</v>
      </c>
      <c r="G16" s="145">
        <v>0</v>
      </c>
      <c r="H16" s="145">
        <v>441708.32</v>
      </c>
      <c r="I16" s="145">
        <f t="shared" si="0"/>
        <v>2374477.25</v>
      </c>
    </row>
    <row r="17" spans="1:9" ht="15.5" x14ac:dyDescent="0.35">
      <c r="A17" s="144" t="s">
        <v>223</v>
      </c>
      <c r="B17" s="146"/>
      <c r="C17" s="146"/>
      <c r="D17" s="145">
        <v>4404877.38</v>
      </c>
      <c r="E17" s="145">
        <v>3600056.3199999998</v>
      </c>
      <c r="F17" s="146">
        <v>3478126.59</v>
      </c>
      <c r="G17" s="145">
        <v>3785086.99</v>
      </c>
      <c r="H17" s="145">
        <v>4620218.22</v>
      </c>
      <c r="I17" s="145">
        <f t="shared" si="0"/>
        <v>19888365.5</v>
      </c>
    </row>
    <row r="18" spans="1:9" ht="15.5" x14ac:dyDescent="0.35">
      <c r="A18" s="144" t="s">
        <v>224</v>
      </c>
      <c r="B18" s="146"/>
      <c r="C18" s="146"/>
      <c r="D18" s="146">
        <v>0</v>
      </c>
      <c r="E18" s="146">
        <v>1622783.43</v>
      </c>
      <c r="F18" s="146">
        <v>2068840.89</v>
      </c>
      <c r="G18" s="145">
        <v>1950998.08</v>
      </c>
      <c r="H18" s="145">
        <v>1894456.49</v>
      </c>
      <c r="I18" s="145">
        <f t="shared" si="0"/>
        <v>7537078.8899999997</v>
      </c>
    </row>
    <row r="19" spans="1:9" ht="15.5" x14ac:dyDescent="0.35">
      <c r="A19" s="144" t="s">
        <v>225</v>
      </c>
      <c r="B19" s="145">
        <v>6276924.1900000004</v>
      </c>
      <c r="C19" s="145">
        <v>876326.54</v>
      </c>
      <c r="D19" s="145">
        <v>731712.31</v>
      </c>
      <c r="E19" s="145">
        <v>699629.94</v>
      </c>
      <c r="F19" s="146"/>
      <c r="G19" s="145">
        <v>2787786.47</v>
      </c>
      <c r="H19" s="145">
        <v>938297.74</v>
      </c>
      <c r="I19" s="145">
        <f t="shared" si="0"/>
        <v>12310677.190000001</v>
      </c>
    </row>
    <row r="20" spans="1:9" ht="15.5" x14ac:dyDescent="0.35">
      <c r="A20" s="144" t="s">
        <v>226</v>
      </c>
      <c r="B20" s="146"/>
      <c r="C20" s="146"/>
      <c r="D20" s="146"/>
      <c r="E20" s="146"/>
      <c r="F20" s="146">
        <v>68716.320000000007</v>
      </c>
      <c r="G20" s="145">
        <v>252291.11</v>
      </c>
      <c r="H20" s="145">
        <v>351132.98</v>
      </c>
      <c r="I20" s="145">
        <f t="shared" si="0"/>
        <v>672140.40999999992</v>
      </c>
    </row>
    <row r="21" spans="1:9" ht="15.5" x14ac:dyDescent="0.35">
      <c r="A21" s="144" t="s">
        <v>227</v>
      </c>
      <c r="B21" s="146"/>
      <c r="C21" s="146"/>
      <c r="D21" s="146"/>
      <c r="E21" s="146"/>
      <c r="F21" s="146">
        <v>4081214.67</v>
      </c>
      <c r="G21" s="145">
        <v>8379627.9199999999</v>
      </c>
      <c r="H21" s="145">
        <v>19259599.420000002</v>
      </c>
      <c r="I21" s="145">
        <f t="shared" si="0"/>
        <v>31720442.010000005</v>
      </c>
    </row>
    <row r="22" spans="1:9" ht="15.5" x14ac:dyDescent="0.35">
      <c r="A22" s="144" t="s">
        <v>228</v>
      </c>
      <c r="B22" s="146"/>
      <c r="C22" s="146"/>
      <c r="D22" s="146"/>
      <c r="E22" s="146"/>
      <c r="F22" s="146"/>
      <c r="G22" s="146">
        <v>-8283596.6399999997</v>
      </c>
      <c r="H22" s="145">
        <v>2831728.36</v>
      </c>
      <c r="I22" s="145">
        <f t="shared" si="0"/>
        <v>-5451868.2799999993</v>
      </c>
    </row>
    <row r="23" spans="1:9" ht="15.5" x14ac:dyDescent="0.35">
      <c r="A23" s="144" t="s">
        <v>229</v>
      </c>
      <c r="B23" s="145">
        <v>2224508.94</v>
      </c>
      <c r="C23" s="145">
        <v>1232472.01</v>
      </c>
      <c r="D23" s="145">
        <v>1222533.6000000001</v>
      </c>
      <c r="E23" s="145">
        <v>943992.94</v>
      </c>
      <c r="F23" s="146">
        <v>1805086.02</v>
      </c>
      <c r="G23" s="145">
        <v>100668.53</v>
      </c>
      <c r="H23" s="145">
        <v>1187677.3</v>
      </c>
      <c r="I23" s="145">
        <f t="shared" si="0"/>
        <v>8716939.3399999999</v>
      </c>
    </row>
    <row r="24" spans="1:9" ht="15.5" x14ac:dyDescent="0.35">
      <c r="A24" s="144" t="s">
        <v>230</v>
      </c>
      <c r="B24" s="146"/>
      <c r="C24" s="146"/>
      <c r="D24" s="146"/>
      <c r="E24" s="146"/>
      <c r="F24" s="146"/>
      <c r="G24" s="145">
        <v>371668.97</v>
      </c>
      <c r="H24" s="145">
        <v>509703.14</v>
      </c>
      <c r="I24" s="145">
        <f t="shared" si="0"/>
        <v>881372.11</v>
      </c>
    </row>
    <row r="25" spans="1:9" ht="15.5" x14ac:dyDescent="0.35">
      <c r="A25" s="144" t="s">
        <v>231</v>
      </c>
      <c r="B25" s="145">
        <v>889840.08</v>
      </c>
      <c r="C25" s="145">
        <v>0</v>
      </c>
      <c r="D25" s="145">
        <v>262680.40999999997</v>
      </c>
      <c r="E25" s="145">
        <v>255779.77</v>
      </c>
      <c r="F25" s="146">
        <v>225639.96</v>
      </c>
      <c r="G25" s="145">
        <v>238384.73</v>
      </c>
      <c r="H25" s="145">
        <v>250324.32</v>
      </c>
      <c r="I25" s="145">
        <f t="shared" si="0"/>
        <v>2122649.27</v>
      </c>
    </row>
    <row r="26" spans="1:9" ht="15.5" x14ac:dyDescent="0.35">
      <c r="A26" s="144" t="s">
        <v>232</v>
      </c>
      <c r="B26" s="145">
        <v>216216.19</v>
      </c>
      <c r="C26" s="146"/>
      <c r="D26" s="146"/>
      <c r="E26" s="146"/>
      <c r="F26" s="146"/>
      <c r="G26" s="146"/>
      <c r="H26" s="146"/>
      <c r="I26" s="145">
        <f t="shared" si="0"/>
        <v>216216.19</v>
      </c>
    </row>
    <row r="27" spans="1:9" ht="15.5" x14ac:dyDescent="0.35">
      <c r="A27" s="147" t="s">
        <v>233</v>
      </c>
      <c r="B27" s="149"/>
      <c r="C27" s="149"/>
      <c r="D27" s="149"/>
      <c r="E27" s="149"/>
      <c r="F27" s="149">
        <v>4896413.76</v>
      </c>
      <c r="G27" s="148">
        <v>7180244.4699999997</v>
      </c>
      <c r="H27" s="148">
        <v>8553255.1500000004</v>
      </c>
      <c r="I27" s="148">
        <f t="shared" si="0"/>
        <v>20629913.380000003</v>
      </c>
    </row>
    <row r="28" spans="1:9" ht="15.5" x14ac:dyDescent="0.35">
      <c r="A28" s="144" t="s">
        <v>234</v>
      </c>
      <c r="B28" s="146"/>
      <c r="C28" s="146"/>
      <c r="D28" s="146"/>
      <c r="E28" s="146"/>
      <c r="F28" s="146"/>
      <c r="G28" s="145">
        <v>16509.240000000002</v>
      </c>
      <c r="H28" s="145">
        <v>17495.28</v>
      </c>
      <c r="I28" s="145">
        <f t="shared" si="0"/>
        <v>34004.520000000004</v>
      </c>
    </row>
    <row r="29" spans="1:9" ht="15.5" x14ac:dyDescent="0.35">
      <c r="A29" s="144" t="s">
        <v>235</v>
      </c>
      <c r="B29" s="146"/>
      <c r="C29" s="146"/>
      <c r="D29" s="146"/>
      <c r="E29" s="145">
        <v>47283.81</v>
      </c>
      <c r="F29" s="146">
        <v>48289.8</v>
      </c>
      <c r="G29" s="145">
        <v>45103.05</v>
      </c>
      <c r="H29" s="145">
        <v>46924.75</v>
      </c>
      <c r="I29" s="145">
        <f t="shared" si="0"/>
        <v>187601.41</v>
      </c>
    </row>
    <row r="30" spans="1:9" ht="15.5" x14ac:dyDescent="0.35">
      <c r="A30" s="144" t="s">
        <v>236</v>
      </c>
      <c r="B30" s="146">
        <v>-14255.91</v>
      </c>
      <c r="C30" s="146"/>
      <c r="D30" s="146"/>
      <c r="E30" s="146"/>
      <c r="F30" s="146"/>
      <c r="G30" s="146"/>
      <c r="H30" s="145">
        <v>585743.82999999996</v>
      </c>
      <c r="I30" s="145">
        <f t="shared" si="0"/>
        <v>571487.91999999993</v>
      </c>
    </row>
    <row r="31" spans="1:9" ht="15.5" x14ac:dyDescent="0.35">
      <c r="A31" s="144" t="s">
        <v>237</v>
      </c>
      <c r="B31" s="146"/>
      <c r="C31" s="146"/>
      <c r="D31" s="146"/>
      <c r="E31" s="146"/>
      <c r="F31" s="146"/>
      <c r="G31" s="146"/>
      <c r="H31" s="145">
        <v>381554.94</v>
      </c>
      <c r="I31" s="145">
        <f t="shared" si="0"/>
        <v>381554.94</v>
      </c>
    </row>
    <row r="32" spans="1:9" ht="15.5" x14ac:dyDescent="0.35">
      <c r="A32" s="144" t="s">
        <v>238</v>
      </c>
      <c r="B32" s="146"/>
      <c r="C32" s="146"/>
      <c r="D32" s="146"/>
      <c r="E32" s="146">
        <v>34624.93</v>
      </c>
      <c r="F32" s="146">
        <v>139024.60999999999</v>
      </c>
      <c r="G32" s="145">
        <v>138702.43</v>
      </c>
      <c r="H32" s="145">
        <v>122054.41</v>
      </c>
      <c r="I32" s="145">
        <f t="shared" si="0"/>
        <v>434406.37999999995</v>
      </c>
    </row>
    <row r="33" spans="1:9" ht="15.5" x14ac:dyDescent="0.35">
      <c r="A33" s="147" t="s">
        <v>239</v>
      </c>
      <c r="B33" s="148">
        <v>348473.55</v>
      </c>
      <c r="C33" s="149"/>
      <c r="D33" s="149"/>
      <c r="E33" s="149"/>
      <c r="F33" s="149"/>
      <c r="G33" s="149"/>
      <c r="H33" s="149"/>
      <c r="I33" s="148">
        <f t="shared" si="0"/>
        <v>348473.55</v>
      </c>
    </row>
    <row r="34" spans="1:9" ht="15.5" x14ac:dyDescent="0.35">
      <c r="A34" s="144" t="s">
        <v>240</v>
      </c>
      <c r="B34" s="146">
        <v>60392.61</v>
      </c>
      <c r="C34" s="146"/>
      <c r="D34" s="146"/>
      <c r="E34" s="146"/>
      <c r="F34" s="146"/>
      <c r="G34" s="145">
        <v>667550.43000000005</v>
      </c>
      <c r="H34" s="145">
        <v>676479.4</v>
      </c>
      <c r="I34" s="145">
        <f t="shared" si="0"/>
        <v>1404422.4400000002</v>
      </c>
    </row>
    <row r="35" spans="1:9" ht="15.5" x14ac:dyDescent="0.35">
      <c r="A35" s="144" t="s">
        <v>241</v>
      </c>
      <c r="B35" s="145">
        <v>3857836.29</v>
      </c>
      <c r="C35" s="145">
        <v>122657.89</v>
      </c>
      <c r="D35" s="145">
        <v>143631.54</v>
      </c>
      <c r="E35" s="145">
        <v>143027.32999999999</v>
      </c>
      <c r="F35" s="146">
        <v>76386.710000000006</v>
      </c>
      <c r="G35" s="145">
        <v>56838.6</v>
      </c>
      <c r="H35" s="145">
        <v>62396.1</v>
      </c>
      <c r="I35" s="145">
        <f t="shared" si="0"/>
        <v>4462774.46</v>
      </c>
    </row>
    <row r="36" spans="1:9" ht="15.5" x14ac:dyDescent="0.35">
      <c r="A36" s="144" t="s">
        <v>242</v>
      </c>
      <c r="B36" s="145">
        <v>46333.54</v>
      </c>
      <c r="C36" s="146">
        <v>6308.22</v>
      </c>
      <c r="D36" s="145">
        <v>14191.73</v>
      </c>
      <c r="E36" s="146"/>
      <c r="F36" s="146">
        <v>7551.57</v>
      </c>
      <c r="G36" s="145">
        <v>2794.61</v>
      </c>
      <c r="H36" s="145">
        <v>2180.2199999999998</v>
      </c>
      <c r="I36" s="145">
        <f t="shared" si="0"/>
        <v>79359.89</v>
      </c>
    </row>
    <row r="37" spans="1:9" ht="15.5" x14ac:dyDescent="0.35">
      <c r="A37" s="144" t="s">
        <v>243</v>
      </c>
      <c r="B37" s="146"/>
      <c r="C37" s="146"/>
      <c r="D37" s="146"/>
      <c r="E37" s="146"/>
      <c r="F37" s="146"/>
      <c r="G37" s="146">
        <v>-5039.75</v>
      </c>
      <c r="H37" s="145">
        <v>2180.2199999999998</v>
      </c>
      <c r="I37" s="145">
        <f t="shared" si="0"/>
        <v>-2859.53</v>
      </c>
    </row>
    <row r="38" spans="1:9" ht="15.5" x14ac:dyDescent="0.35">
      <c r="A38" s="144" t="s">
        <v>132</v>
      </c>
      <c r="B38" s="145">
        <v>256579.37</v>
      </c>
      <c r="C38" s="145">
        <v>9235.86</v>
      </c>
      <c r="D38" s="146"/>
      <c r="E38" s="146"/>
      <c r="F38" s="146"/>
      <c r="G38" s="146"/>
      <c r="H38" s="146"/>
      <c r="I38" s="145">
        <f t="shared" si="0"/>
        <v>265815.23</v>
      </c>
    </row>
    <row r="39" spans="1:9" ht="15.5" x14ac:dyDescent="0.35">
      <c r="A39" s="144" t="s">
        <v>87</v>
      </c>
      <c r="B39" s="145">
        <v>151317.99</v>
      </c>
      <c r="C39" s="145">
        <v>16840.79</v>
      </c>
      <c r="D39" s="145">
        <v>6098.26</v>
      </c>
      <c r="E39" s="146"/>
      <c r="F39" s="146"/>
      <c r="G39" s="146"/>
      <c r="H39" s="145">
        <v>8300.57</v>
      </c>
      <c r="I39" s="145">
        <f t="shared" si="0"/>
        <v>182557.61</v>
      </c>
    </row>
    <row r="40" spans="1:9" ht="15.5" x14ac:dyDescent="0.35">
      <c r="A40" s="144" t="s">
        <v>135</v>
      </c>
      <c r="B40" s="145">
        <v>5834.62</v>
      </c>
      <c r="C40" s="146"/>
      <c r="D40" s="146"/>
      <c r="E40" s="146"/>
      <c r="F40" s="146"/>
      <c r="G40" s="146"/>
      <c r="H40" s="146"/>
      <c r="I40" s="145">
        <f t="shared" si="0"/>
        <v>5834.62</v>
      </c>
    </row>
    <row r="41" spans="1:9" ht="15.5" x14ac:dyDescent="0.35">
      <c r="A41" s="144" t="s">
        <v>244</v>
      </c>
      <c r="B41" s="145">
        <v>18925.84</v>
      </c>
      <c r="C41" s="145">
        <v>299674.76</v>
      </c>
      <c r="D41" s="145">
        <v>31575.119999999999</v>
      </c>
      <c r="E41" s="145">
        <v>45799.37</v>
      </c>
      <c r="F41" s="146">
        <v>44922.97</v>
      </c>
      <c r="G41" s="145">
        <v>162587.93</v>
      </c>
      <c r="H41" s="145">
        <v>67545.5</v>
      </c>
      <c r="I41" s="145">
        <f t="shared" si="0"/>
        <v>671031.49</v>
      </c>
    </row>
    <row r="42" spans="1:9" ht="15.5" x14ac:dyDescent="0.35">
      <c r="A42" s="144" t="s">
        <v>245</v>
      </c>
      <c r="B42" s="145">
        <v>41234.68</v>
      </c>
      <c r="C42" s="146"/>
      <c r="D42" s="146"/>
      <c r="E42" s="146"/>
      <c r="F42" s="146"/>
      <c r="G42" s="146"/>
      <c r="H42" s="146"/>
      <c r="I42" s="145">
        <f t="shared" si="0"/>
        <v>41234.68</v>
      </c>
    </row>
    <row r="43" spans="1:9" ht="15.5" x14ac:dyDescent="0.35">
      <c r="A43" s="137" t="s">
        <v>246</v>
      </c>
      <c r="B43" s="139">
        <v>0</v>
      </c>
      <c r="C43" s="139">
        <v>134238.04</v>
      </c>
      <c r="D43" s="139"/>
      <c r="E43" s="139"/>
      <c r="F43" s="139"/>
      <c r="G43" s="138">
        <v>0</v>
      </c>
      <c r="H43" s="138">
        <v>694881.79</v>
      </c>
      <c r="I43" s="138">
        <f t="shared" si="0"/>
        <v>829119.83000000007</v>
      </c>
    </row>
    <row r="44" spans="1:9" ht="15.5" x14ac:dyDescent="0.35">
      <c r="A44" s="137" t="s">
        <v>247</v>
      </c>
      <c r="B44" s="139">
        <v>215617.57</v>
      </c>
      <c r="C44" s="139"/>
      <c r="D44" s="139"/>
      <c r="E44" s="139"/>
      <c r="F44" s="139"/>
      <c r="G44" s="138">
        <v>0</v>
      </c>
      <c r="H44" s="138">
        <v>771531.84</v>
      </c>
      <c r="I44" s="138">
        <f t="shared" si="0"/>
        <v>987149.40999999992</v>
      </c>
    </row>
    <row r="45" spans="1:9" ht="15.5" x14ac:dyDescent="0.35">
      <c r="A45" s="177" t="s">
        <v>152</v>
      </c>
      <c r="B45" s="178">
        <v>46506.37</v>
      </c>
      <c r="C45" s="179"/>
      <c r="D45" s="179"/>
      <c r="E45" s="179"/>
      <c r="F45" s="179"/>
      <c r="G45" s="179"/>
      <c r="H45" s="179"/>
      <c r="I45" s="178">
        <f t="shared" si="0"/>
        <v>46506.37</v>
      </c>
    </row>
    <row r="46" spans="1:9" ht="15.5" x14ac:dyDescent="0.35">
      <c r="A46" s="137" t="s">
        <v>248</v>
      </c>
      <c r="B46" s="138">
        <v>12233.47</v>
      </c>
      <c r="C46" s="139"/>
      <c r="D46" s="139"/>
      <c r="E46" s="139"/>
      <c r="F46" s="139"/>
      <c r="G46" s="139"/>
      <c r="H46" s="139"/>
      <c r="I46" s="138">
        <f t="shared" si="0"/>
        <v>12233.47</v>
      </c>
    </row>
    <row r="47" spans="1:9" ht="15.5" x14ac:dyDescent="0.35">
      <c r="A47" s="137" t="s">
        <v>249</v>
      </c>
      <c r="B47" s="138">
        <v>127014.81</v>
      </c>
      <c r="C47" s="138">
        <v>152346.07</v>
      </c>
      <c r="D47" s="138">
        <v>28281.45</v>
      </c>
      <c r="E47" s="138">
        <v>28138.25</v>
      </c>
      <c r="F47" s="139">
        <v>28138.25</v>
      </c>
      <c r="G47" s="138">
        <v>32562.58</v>
      </c>
      <c r="H47" s="138">
        <v>24970.73</v>
      </c>
      <c r="I47" s="138">
        <f t="shared" si="0"/>
        <v>421452.14</v>
      </c>
    </row>
    <row r="48" spans="1:9" ht="15.5" x14ac:dyDescent="0.35">
      <c r="A48" s="137" t="s">
        <v>250</v>
      </c>
      <c r="B48" s="139"/>
      <c r="C48" s="139"/>
      <c r="D48" s="139"/>
      <c r="E48" s="139"/>
      <c r="F48" s="139">
        <v>-365363.59</v>
      </c>
      <c r="G48" s="139"/>
      <c r="H48" s="138">
        <v>801151.3</v>
      </c>
      <c r="I48" s="138">
        <f t="shared" si="0"/>
        <v>435787.71</v>
      </c>
    </row>
    <row r="49" spans="1:10" ht="15.5" x14ac:dyDescent="0.35">
      <c r="A49" s="137" t="s">
        <v>251</v>
      </c>
      <c r="B49" s="138">
        <v>143834.67000000001</v>
      </c>
      <c r="C49" s="139"/>
      <c r="D49" s="139"/>
      <c r="E49" s="139"/>
      <c r="F49" s="139"/>
      <c r="G49" s="139"/>
      <c r="H49" s="139"/>
      <c r="I49" s="138">
        <f t="shared" si="0"/>
        <v>143834.67000000001</v>
      </c>
      <c r="J49" s="682"/>
    </row>
    <row r="50" spans="1:10" ht="15.5" x14ac:dyDescent="0.35">
      <c r="A50" s="137" t="s">
        <v>252</v>
      </c>
      <c r="B50" s="139">
        <v>286440</v>
      </c>
      <c r="C50" s="139"/>
      <c r="D50" s="139"/>
      <c r="E50" s="139"/>
      <c r="F50" s="139"/>
      <c r="G50" s="138">
        <v>0</v>
      </c>
      <c r="H50" s="138">
        <v>237336</v>
      </c>
      <c r="I50" s="138">
        <f t="shared" si="0"/>
        <v>523776</v>
      </c>
      <c r="J50" s="682"/>
    </row>
    <row r="51" spans="1:10" ht="15.5" x14ac:dyDescent="0.35">
      <c r="A51" s="174" t="s">
        <v>112</v>
      </c>
      <c r="B51" s="175">
        <v>54257.82</v>
      </c>
      <c r="C51" s="176"/>
      <c r="D51" s="176"/>
      <c r="E51" s="176"/>
      <c r="F51" s="176"/>
      <c r="G51" s="176"/>
      <c r="H51" s="176"/>
      <c r="I51" s="175">
        <f t="shared" si="0"/>
        <v>54257.82</v>
      </c>
      <c r="J51" s="682"/>
    </row>
    <row r="52" spans="1:10" ht="15.5" x14ac:dyDescent="0.35">
      <c r="A52" s="144" t="s">
        <v>253</v>
      </c>
      <c r="B52" s="146"/>
      <c r="C52" s="146"/>
      <c r="D52" s="146"/>
      <c r="E52" s="146"/>
      <c r="F52" s="146"/>
      <c r="G52" s="146"/>
      <c r="H52" s="145">
        <v>298810.81</v>
      </c>
      <c r="I52" s="145">
        <f t="shared" si="0"/>
        <v>298810.81</v>
      </c>
      <c r="J52" s="682"/>
    </row>
    <row r="53" spans="1:10" ht="15.5" x14ac:dyDescent="0.35">
      <c r="A53" s="144" t="s">
        <v>254</v>
      </c>
      <c r="B53" s="145">
        <v>39536.449999999997</v>
      </c>
      <c r="C53" s="146"/>
      <c r="D53" s="146"/>
      <c r="E53" s="146"/>
      <c r="F53" s="146"/>
      <c r="G53" s="146"/>
      <c r="H53" s="146"/>
      <c r="I53" s="145">
        <f t="shared" si="0"/>
        <v>39536.449999999997</v>
      </c>
      <c r="J53" s="682"/>
    </row>
    <row r="54" spans="1:10" ht="15.5" x14ac:dyDescent="0.35">
      <c r="A54" s="144" t="s">
        <v>292</v>
      </c>
      <c r="B54" s="145">
        <v>184424.15</v>
      </c>
      <c r="C54" s="146"/>
      <c r="D54" s="146"/>
      <c r="E54" s="146"/>
      <c r="F54" s="146"/>
      <c r="G54" s="146"/>
      <c r="H54" s="146"/>
      <c r="I54" s="145">
        <f t="shared" si="0"/>
        <v>184424.15</v>
      </c>
      <c r="J54" s="133">
        <f>I54+I55</f>
        <v>3000600.67</v>
      </c>
    </row>
    <row r="55" spans="1:10" ht="15.5" x14ac:dyDescent="0.35">
      <c r="A55" s="144" t="s">
        <v>255</v>
      </c>
      <c r="B55" s="145">
        <v>1405582.32</v>
      </c>
      <c r="C55" s="145">
        <v>241407.42</v>
      </c>
      <c r="D55" s="145">
        <v>240360.23</v>
      </c>
      <c r="E55" s="145">
        <v>229326.03</v>
      </c>
      <c r="F55" s="146">
        <v>181522.65</v>
      </c>
      <c r="G55" s="145">
        <v>253768.53</v>
      </c>
      <c r="H55" s="145">
        <v>264209.34000000003</v>
      </c>
      <c r="I55" s="145">
        <f t="shared" si="0"/>
        <v>2816176.52</v>
      </c>
      <c r="J55" s="682"/>
    </row>
    <row r="56" spans="1:10" ht="15.5" x14ac:dyDescent="0.35">
      <c r="A56" s="144" t="s">
        <v>122</v>
      </c>
      <c r="B56" s="145">
        <v>7469.62</v>
      </c>
      <c r="C56" s="146"/>
      <c r="D56" s="146"/>
      <c r="E56" s="146"/>
      <c r="F56" s="146"/>
      <c r="G56" s="146"/>
      <c r="H56" s="146"/>
      <c r="I56" s="145">
        <f t="shared" si="0"/>
        <v>7469.62</v>
      </c>
      <c r="J56" s="682"/>
    </row>
    <row r="57" spans="1:10" ht="15.5" x14ac:dyDescent="0.35">
      <c r="A57" s="144" t="s">
        <v>256</v>
      </c>
      <c r="B57" s="146"/>
      <c r="C57" s="146"/>
      <c r="D57" s="146"/>
      <c r="E57" s="146">
        <v>-64569.23</v>
      </c>
      <c r="F57" s="146">
        <v>-84263.02</v>
      </c>
      <c r="G57" s="145">
        <v>-109307.26</v>
      </c>
      <c r="H57" s="145">
        <v>113498.81</v>
      </c>
      <c r="I57" s="145">
        <f t="shared" si="0"/>
        <v>-144640.70000000001</v>
      </c>
      <c r="J57" s="682"/>
    </row>
    <row r="58" spans="1:10" ht="15.5" x14ac:dyDescent="0.35">
      <c r="A58" s="144" t="s">
        <v>257</v>
      </c>
      <c r="B58" s="146">
        <v>24730.84</v>
      </c>
      <c r="C58" s="145">
        <v>92110.32</v>
      </c>
      <c r="D58" s="145">
        <v>116625.73</v>
      </c>
      <c r="E58" s="145">
        <v>169959.02</v>
      </c>
      <c r="F58" s="146">
        <v>76714.69</v>
      </c>
      <c r="G58" s="145">
        <v>99565.09</v>
      </c>
      <c r="H58" s="145">
        <v>132258.82999999999</v>
      </c>
      <c r="I58" s="145">
        <f t="shared" si="0"/>
        <v>711964.5199999999</v>
      </c>
      <c r="J58" s="133"/>
    </row>
    <row r="59" spans="1:10" ht="15.5" x14ac:dyDescent="0.35">
      <c r="A59" s="144" t="s">
        <v>258</v>
      </c>
      <c r="B59" s="146">
        <v>77080.240000000005</v>
      </c>
      <c r="C59" s="146"/>
      <c r="D59" s="146"/>
      <c r="E59" s="146"/>
      <c r="F59" s="146"/>
      <c r="G59" s="145"/>
      <c r="H59" s="145">
        <v>284796.71999999997</v>
      </c>
      <c r="I59" s="145">
        <f t="shared" si="0"/>
        <v>361876.95999999996</v>
      </c>
      <c r="J59" s="682"/>
    </row>
    <row r="60" spans="1:10" ht="15.5" x14ac:dyDescent="0.35">
      <c r="A60" s="144" t="s">
        <v>259</v>
      </c>
      <c r="B60" s="145">
        <v>601324.93000000005</v>
      </c>
      <c r="C60" s="145">
        <v>34027.78</v>
      </c>
      <c r="D60" s="145">
        <v>33878.449999999997</v>
      </c>
      <c r="E60" s="145">
        <v>35247.050000000003</v>
      </c>
      <c r="F60" s="146">
        <v>34348.81</v>
      </c>
      <c r="G60" s="145">
        <v>32847.629999999997</v>
      </c>
      <c r="H60" s="145">
        <v>34955.1</v>
      </c>
      <c r="I60" s="145">
        <f t="shared" si="0"/>
        <v>806629.75</v>
      </c>
      <c r="J60" s="133">
        <f>I53+I60</f>
        <v>846166.2</v>
      </c>
    </row>
    <row r="61" spans="1:10" ht="15.5" x14ac:dyDescent="0.35">
      <c r="A61" s="144" t="s">
        <v>260</v>
      </c>
      <c r="B61" s="146">
        <v>-6581.43</v>
      </c>
      <c r="C61" s="146"/>
      <c r="D61" s="146"/>
      <c r="E61" s="146"/>
      <c r="F61" s="146"/>
      <c r="G61" s="145">
        <v>457080.45</v>
      </c>
      <c r="H61" s="145">
        <v>457924.71</v>
      </c>
      <c r="I61" s="145">
        <f t="shared" si="0"/>
        <v>908423.73</v>
      </c>
      <c r="J61" s="682"/>
    </row>
    <row r="62" spans="1:10" ht="15.5" x14ac:dyDescent="0.35">
      <c r="A62" s="144" t="s">
        <v>261</v>
      </c>
      <c r="B62" s="145">
        <v>916294.43</v>
      </c>
      <c r="C62" s="146"/>
      <c r="D62" s="146"/>
      <c r="E62" s="146"/>
      <c r="F62" s="146"/>
      <c r="G62" s="146"/>
      <c r="H62" s="146"/>
      <c r="I62" s="145">
        <f t="shared" si="0"/>
        <v>916294.43</v>
      </c>
      <c r="J62" s="682"/>
    </row>
    <row r="63" spans="1:10" ht="15.5" x14ac:dyDescent="0.35">
      <c r="A63" s="144" t="s">
        <v>262</v>
      </c>
      <c r="B63" s="146"/>
      <c r="C63" s="146"/>
      <c r="D63" s="146"/>
      <c r="E63" s="146"/>
      <c r="F63" s="146"/>
      <c r="G63" s="145">
        <v>13821.54</v>
      </c>
      <c r="H63" s="145">
        <v>52827.23</v>
      </c>
      <c r="I63" s="145">
        <f t="shared" si="0"/>
        <v>66648.77</v>
      </c>
      <c r="J63" s="682"/>
    </row>
    <row r="64" spans="1:10" ht="15.5" x14ac:dyDescent="0.35">
      <c r="A64" s="144" t="s">
        <v>263</v>
      </c>
      <c r="B64" s="146"/>
      <c r="C64" s="146">
        <v>30470.09</v>
      </c>
      <c r="D64" s="146">
        <v>133435.98000000001</v>
      </c>
      <c r="E64" s="145">
        <v>97917.18</v>
      </c>
      <c r="F64" s="146">
        <v>69012.179999999993</v>
      </c>
      <c r="G64" s="145">
        <v>70024.679999999993</v>
      </c>
      <c r="H64" s="145">
        <v>57773.08</v>
      </c>
      <c r="I64" s="145">
        <f t="shared" si="0"/>
        <v>458633.19</v>
      </c>
      <c r="J64" s="682"/>
    </row>
    <row r="65" spans="1:9" ht="15.5" x14ac:dyDescent="0.35">
      <c r="A65" s="144" t="s">
        <v>264</v>
      </c>
      <c r="B65" s="146"/>
      <c r="C65" s="146"/>
      <c r="D65" s="146"/>
      <c r="E65" s="146"/>
      <c r="F65" s="146">
        <v>409961.98</v>
      </c>
      <c r="G65" s="145">
        <v>474598.64</v>
      </c>
      <c r="H65" s="145">
        <v>551930.48</v>
      </c>
      <c r="I65" s="145">
        <f t="shared" si="0"/>
        <v>1436491.1</v>
      </c>
    </row>
    <row r="66" spans="1:9" ht="15.5" x14ac:dyDescent="0.35">
      <c r="A66" s="144" t="s">
        <v>265</v>
      </c>
      <c r="B66" s="145">
        <v>172997.05</v>
      </c>
      <c r="C66" s="145">
        <v>41315.379999999997</v>
      </c>
      <c r="D66" s="145">
        <v>51113.16</v>
      </c>
      <c r="E66" s="145">
        <v>40266.31</v>
      </c>
      <c r="F66" s="146">
        <v>38980.9</v>
      </c>
      <c r="G66" s="145">
        <v>40410</v>
      </c>
      <c r="H66" s="145">
        <v>59350.080000000002</v>
      </c>
      <c r="I66" s="145">
        <f t="shared" ref="I66:I91" si="1">H66+G66+F66+E66+D66+C66+B66</f>
        <v>444432.88</v>
      </c>
    </row>
    <row r="67" spans="1:9" ht="15.5" x14ac:dyDescent="0.35">
      <c r="A67" s="144" t="s">
        <v>266</v>
      </c>
      <c r="B67" s="146"/>
      <c r="C67" s="146"/>
      <c r="D67" s="146"/>
      <c r="E67" s="145">
        <v>1585917.38</v>
      </c>
      <c r="F67" s="146">
        <v>1863670.37</v>
      </c>
      <c r="G67" s="145">
        <v>2066843.13</v>
      </c>
      <c r="H67" s="145">
        <v>2618660.62</v>
      </c>
      <c r="I67" s="145">
        <f t="shared" si="1"/>
        <v>8135091.5</v>
      </c>
    </row>
    <row r="68" spans="1:9" ht="15.5" x14ac:dyDescent="0.35">
      <c r="A68" s="144" t="s">
        <v>267</v>
      </c>
      <c r="B68" s="146"/>
      <c r="C68" s="146"/>
      <c r="D68" s="146">
        <v>-24278.04</v>
      </c>
      <c r="E68" s="146"/>
      <c r="F68" s="146"/>
      <c r="G68" s="146"/>
      <c r="H68" s="145">
        <v>147933.01999999999</v>
      </c>
      <c r="I68" s="145">
        <f t="shared" si="1"/>
        <v>123654.97999999998</v>
      </c>
    </row>
    <row r="69" spans="1:9" ht="15.5" x14ac:dyDescent="0.35">
      <c r="A69" s="144" t="s">
        <v>268</v>
      </c>
      <c r="B69" s="146"/>
      <c r="C69" s="146"/>
      <c r="D69" s="146">
        <v>378331.76</v>
      </c>
      <c r="E69" s="145">
        <v>3051865.72</v>
      </c>
      <c r="F69" s="146">
        <v>5051630.1500000004</v>
      </c>
      <c r="G69" s="145">
        <v>5102920.66</v>
      </c>
      <c r="H69" s="145">
        <v>5866906.1200000001</v>
      </c>
      <c r="I69" s="145">
        <f t="shared" si="1"/>
        <v>19451654.410000004</v>
      </c>
    </row>
    <row r="70" spans="1:9" ht="15.5" x14ac:dyDescent="0.35">
      <c r="A70" s="144" t="s">
        <v>269</v>
      </c>
      <c r="B70" s="146"/>
      <c r="C70" s="146"/>
      <c r="D70" s="146"/>
      <c r="E70" s="146">
        <v>-128564.23</v>
      </c>
      <c r="F70" s="146">
        <v>-64031.24</v>
      </c>
      <c r="G70" s="146">
        <v>-106780.2</v>
      </c>
      <c r="H70" s="145">
        <v>233374.39</v>
      </c>
      <c r="I70" s="145">
        <f t="shared" si="1"/>
        <v>-66001.27999999997</v>
      </c>
    </row>
    <row r="71" spans="1:9" ht="15.5" x14ac:dyDescent="0.35">
      <c r="A71" s="147" t="s">
        <v>270</v>
      </c>
      <c r="B71" s="149"/>
      <c r="C71" s="149"/>
      <c r="D71" s="148">
        <v>325139.42</v>
      </c>
      <c r="E71" s="148">
        <v>425678.28</v>
      </c>
      <c r="F71" s="149">
        <v>450887.1</v>
      </c>
      <c r="G71" s="148">
        <v>439833.4</v>
      </c>
      <c r="H71" s="148">
        <v>527265.71</v>
      </c>
      <c r="I71" s="148">
        <f t="shared" si="1"/>
        <v>2168803.91</v>
      </c>
    </row>
    <row r="72" spans="1:9" ht="15.5" x14ac:dyDescent="0.35">
      <c r="A72" s="144" t="s">
        <v>271</v>
      </c>
      <c r="B72" s="145">
        <v>534495.59</v>
      </c>
      <c r="C72" s="145">
        <v>77496.5</v>
      </c>
      <c r="D72" s="145">
        <v>72917.279999999999</v>
      </c>
      <c r="E72" s="145">
        <v>68292.58</v>
      </c>
      <c r="F72" s="146">
        <v>63777.97</v>
      </c>
      <c r="G72" s="145">
        <v>88813.41</v>
      </c>
      <c r="H72" s="145">
        <v>178533.45</v>
      </c>
      <c r="I72" s="145">
        <f t="shared" si="1"/>
        <v>1084326.7799999998</v>
      </c>
    </row>
    <row r="73" spans="1:9" ht="15.5" x14ac:dyDescent="0.35">
      <c r="A73" s="144" t="s">
        <v>272</v>
      </c>
      <c r="B73" s="146">
        <v>9249.81</v>
      </c>
      <c r="C73" s="146"/>
      <c r="D73" s="146"/>
      <c r="E73" s="146"/>
      <c r="F73" s="146"/>
      <c r="G73" s="145">
        <v>0</v>
      </c>
      <c r="H73" s="145">
        <v>327689.90000000002</v>
      </c>
      <c r="I73" s="145">
        <f t="shared" si="1"/>
        <v>336939.71</v>
      </c>
    </row>
    <row r="74" spans="1:9" ht="15.5" x14ac:dyDescent="0.35">
      <c r="A74" s="144" t="s">
        <v>273</v>
      </c>
      <c r="B74" s="146"/>
      <c r="C74" s="146"/>
      <c r="D74" s="146"/>
      <c r="E74" s="146"/>
      <c r="F74" s="146"/>
      <c r="G74" s="145">
        <v>1341.62</v>
      </c>
      <c r="H74" s="145">
        <v>7030.91</v>
      </c>
      <c r="I74" s="145">
        <f t="shared" si="1"/>
        <v>8372.5299999999988</v>
      </c>
    </row>
    <row r="75" spans="1:9" ht="15.5" x14ac:dyDescent="0.35">
      <c r="A75" s="144" t="s">
        <v>274</v>
      </c>
      <c r="B75" s="146"/>
      <c r="C75" s="146"/>
      <c r="D75" s="146"/>
      <c r="E75" s="146"/>
      <c r="F75" s="146"/>
      <c r="G75" s="145">
        <v>946870.7</v>
      </c>
      <c r="H75" s="145">
        <v>1452788.83</v>
      </c>
      <c r="I75" s="145">
        <f t="shared" si="1"/>
        <v>2399659.5300000003</v>
      </c>
    </row>
    <row r="76" spans="1:9" ht="15.5" x14ac:dyDescent="0.35">
      <c r="A76" s="144" t="s">
        <v>275</v>
      </c>
      <c r="B76" s="145">
        <v>725275.43</v>
      </c>
      <c r="C76" s="145">
        <v>11683.96</v>
      </c>
      <c r="D76" s="145">
        <v>13355.64</v>
      </c>
      <c r="E76" s="145">
        <v>13794.19</v>
      </c>
      <c r="F76" s="146">
        <v>12175.76</v>
      </c>
      <c r="G76" s="145">
        <v>14503.25</v>
      </c>
      <c r="H76" s="145">
        <v>14102.59</v>
      </c>
      <c r="I76" s="145">
        <f t="shared" si="1"/>
        <v>804890.82000000007</v>
      </c>
    </row>
    <row r="77" spans="1:9" ht="15.5" x14ac:dyDescent="0.35">
      <c r="A77" s="144" t="s">
        <v>276</v>
      </c>
      <c r="B77" s="146">
        <v>64850.61</v>
      </c>
      <c r="C77" s="146"/>
      <c r="D77" s="146"/>
      <c r="E77" s="146"/>
      <c r="F77" s="146"/>
      <c r="G77" s="145"/>
      <c r="H77" s="145">
        <v>209478.39999999999</v>
      </c>
      <c r="I77" s="145">
        <f t="shared" si="1"/>
        <v>274329.01</v>
      </c>
    </row>
    <row r="78" spans="1:9" ht="15.5" x14ac:dyDescent="0.35">
      <c r="A78" s="144" t="s">
        <v>277</v>
      </c>
      <c r="B78" s="146">
        <v>-8382.59</v>
      </c>
      <c r="C78" s="146"/>
      <c r="D78" s="146"/>
      <c r="E78" s="146"/>
      <c r="F78" s="146"/>
      <c r="G78" s="146"/>
      <c r="H78" s="145">
        <v>72763.67</v>
      </c>
      <c r="I78" s="145">
        <f t="shared" si="1"/>
        <v>64381.08</v>
      </c>
    </row>
    <row r="79" spans="1:9" ht="15.5" x14ac:dyDescent="0.35">
      <c r="A79" s="144" t="s">
        <v>278</v>
      </c>
      <c r="B79" s="146"/>
      <c r="C79" s="146"/>
      <c r="D79" s="146"/>
      <c r="E79" s="146"/>
      <c r="F79" s="146"/>
      <c r="G79" s="145">
        <v>1433850.19</v>
      </c>
      <c r="H79" s="145">
        <v>2388980.7000000002</v>
      </c>
      <c r="I79" s="145">
        <f t="shared" si="1"/>
        <v>3822830.89</v>
      </c>
    </row>
    <row r="80" spans="1:9" ht="15.5" x14ac:dyDescent="0.35">
      <c r="A80" s="144" t="s">
        <v>279</v>
      </c>
      <c r="B80" s="146"/>
      <c r="C80" s="146"/>
      <c r="D80" s="146"/>
      <c r="E80" s="146"/>
      <c r="F80" s="146"/>
      <c r="G80" s="146"/>
      <c r="H80" s="145">
        <v>218644.91</v>
      </c>
      <c r="I80" s="145">
        <f t="shared" si="1"/>
        <v>218644.91</v>
      </c>
    </row>
    <row r="81" spans="1:9" ht="15.5" x14ac:dyDescent="0.35">
      <c r="A81" s="144" t="s">
        <v>280</v>
      </c>
      <c r="B81" s="146"/>
      <c r="C81" s="146"/>
      <c r="D81" s="146"/>
      <c r="E81" s="146"/>
      <c r="F81" s="146"/>
      <c r="G81" s="145">
        <v>1036345.07</v>
      </c>
      <c r="H81" s="145">
        <v>1201137.68</v>
      </c>
      <c r="I81" s="145">
        <f t="shared" si="1"/>
        <v>2237482.75</v>
      </c>
    </row>
    <row r="82" spans="1:9" ht="15.5" x14ac:dyDescent="0.35">
      <c r="A82" s="144" t="s">
        <v>281</v>
      </c>
      <c r="B82" s="146"/>
      <c r="C82" s="146"/>
      <c r="D82" s="146"/>
      <c r="E82" s="146"/>
      <c r="F82" s="146"/>
      <c r="G82" s="145">
        <v>2060807.65</v>
      </c>
      <c r="H82" s="145">
        <v>1316186.1299999999</v>
      </c>
      <c r="I82" s="145">
        <f t="shared" si="1"/>
        <v>3376993.78</v>
      </c>
    </row>
    <row r="83" spans="1:9" ht="15.5" x14ac:dyDescent="0.35">
      <c r="A83" s="144" t="s">
        <v>282</v>
      </c>
      <c r="B83" s="145">
        <v>27232.23</v>
      </c>
      <c r="C83" s="145">
        <v>4613.1099999999997</v>
      </c>
      <c r="D83" s="145">
        <v>4464.3</v>
      </c>
      <c r="E83" s="145">
        <v>4613.1099999999997</v>
      </c>
      <c r="F83" s="146">
        <v>4613.1099999999997</v>
      </c>
      <c r="G83" s="145">
        <v>4166.68</v>
      </c>
      <c r="H83" s="145">
        <v>4613.1099999999997</v>
      </c>
      <c r="I83" s="145">
        <f t="shared" si="1"/>
        <v>54315.65</v>
      </c>
    </row>
    <row r="84" spans="1:9" ht="15.5" x14ac:dyDescent="0.35">
      <c r="A84" s="144" t="s">
        <v>283</v>
      </c>
      <c r="B84" s="145">
        <v>3020118.22</v>
      </c>
      <c r="C84" s="145">
        <v>322309.5</v>
      </c>
      <c r="D84" s="145">
        <v>321996.34999999998</v>
      </c>
      <c r="E84" s="145">
        <v>322309.5</v>
      </c>
      <c r="F84" s="146">
        <v>322309.5</v>
      </c>
      <c r="G84" s="145">
        <v>321370.06</v>
      </c>
      <c r="H84" s="145">
        <v>322309.5</v>
      </c>
      <c r="I84" s="145">
        <f t="shared" si="1"/>
        <v>4952722.6300000008</v>
      </c>
    </row>
    <row r="85" spans="1:9" ht="15.5" x14ac:dyDescent="0.35">
      <c r="A85" s="144" t="s">
        <v>284</v>
      </c>
      <c r="B85" s="146"/>
      <c r="C85" s="146"/>
      <c r="D85" s="146"/>
      <c r="E85" s="146"/>
      <c r="F85" s="146"/>
      <c r="G85" s="145">
        <v>-136058.69</v>
      </c>
      <c r="H85" s="146"/>
      <c r="I85" s="145">
        <f t="shared" si="1"/>
        <v>-136058.69</v>
      </c>
    </row>
    <row r="86" spans="1:9" ht="15.5" x14ac:dyDescent="0.35">
      <c r="A86" s="144" t="s">
        <v>285</v>
      </c>
      <c r="B86" s="145">
        <v>2902581.51</v>
      </c>
      <c r="C86" s="146"/>
      <c r="D86" s="146"/>
      <c r="E86" s="146"/>
      <c r="F86" s="146"/>
      <c r="G86" s="146"/>
      <c r="H86" s="146"/>
      <c r="I86" s="145">
        <f t="shared" si="1"/>
        <v>2902581.51</v>
      </c>
    </row>
    <row r="87" spans="1:9" ht="15.5" x14ac:dyDescent="0.35">
      <c r="A87" s="144" t="s">
        <v>286</v>
      </c>
      <c r="B87" s="146"/>
      <c r="C87" s="146"/>
      <c r="D87" s="146"/>
      <c r="E87" s="146"/>
      <c r="F87" s="146"/>
      <c r="G87" s="145">
        <v>1119354.08</v>
      </c>
      <c r="H87" s="145">
        <v>2016895.58</v>
      </c>
      <c r="I87" s="145">
        <f t="shared" si="1"/>
        <v>3136249.66</v>
      </c>
    </row>
    <row r="88" spans="1:9" ht="15.5" x14ac:dyDescent="0.35">
      <c r="A88" s="144" t="s">
        <v>287</v>
      </c>
      <c r="B88" s="146"/>
      <c r="C88" s="146"/>
      <c r="D88" s="146"/>
      <c r="E88" s="146"/>
      <c r="F88" s="146"/>
      <c r="G88" s="146"/>
      <c r="H88" s="145">
        <v>2594403.5699999998</v>
      </c>
      <c r="I88" s="145">
        <f t="shared" si="1"/>
        <v>2594403.5699999998</v>
      </c>
    </row>
    <row r="89" spans="1:9" ht="15.5" x14ac:dyDescent="0.35">
      <c r="A89" s="144" t="s">
        <v>288</v>
      </c>
      <c r="B89" s="145">
        <v>357222.21</v>
      </c>
      <c r="C89" s="145">
        <v>49379.3</v>
      </c>
      <c r="D89" s="145">
        <v>48591.03</v>
      </c>
      <c r="E89" s="145">
        <v>44446.58</v>
      </c>
      <c r="F89" s="146">
        <v>52987.65</v>
      </c>
      <c r="G89" s="145">
        <v>45398.19</v>
      </c>
      <c r="H89" s="145">
        <v>38450.04</v>
      </c>
      <c r="I89" s="145">
        <f t="shared" si="1"/>
        <v>636475</v>
      </c>
    </row>
    <row r="90" spans="1:9" ht="15.5" x14ac:dyDescent="0.35">
      <c r="A90" s="156" t="s">
        <v>123</v>
      </c>
      <c r="B90" s="157">
        <v>2</v>
      </c>
      <c r="C90" s="158"/>
      <c r="D90" s="158"/>
      <c r="E90" s="158"/>
      <c r="F90" s="158"/>
      <c r="G90" s="158"/>
      <c r="H90" s="158"/>
      <c r="I90" s="157">
        <f t="shared" si="1"/>
        <v>2</v>
      </c>
    </row>
    <row r="91" spans="1:9" ht="16" thickBot="1" x14ac:dyDescent="0.4">
      <c r="A91" s="161" t="s">
        <v>289</v>
      </c>
      <c r="B91" s="162"/>
      <c r="C91" s="162"/>
      <c r="D91" s="162"/>
      <c r="E91" s="162"/>
      <c r="F91" s="162"/>
      <c r="G91" s="162"/>
      <c r="H91" s="163">
        <v>306372.58</v>
      </c>
      <c r="I91" s="163">
        <f t="shared" si="1"/>
        <v>306372.58</v>
      </c>
    </row>
    <row r="92" spans="1:9" ht="16" thickBot="1" x14ac:dyDescent="0.4">
      <c r="A92" s="130" t="s">
        <v>6</v>
      </c>
      <c r="B92" s="131">
        <f t="shared" ref="B92:I92" si="2">SUM(B1:B91)</f>
        <v>89236229.110000029</v>
      </c>
      <c r="C92" s="131">
        <f t="shared" si="2"/>
        <v>3657684.2899999991</v>
      </c>
      <c r="D92" s="131">
        <f t="shared" si="2"/>
        <v>8984492.9200000018</v>
      </c>
      <c r="E92" s="131">
        <f t="shared" si="2"/>
        <v>13723527.479999995</v>
      </c>
      <c r="F92" s="131">
        <f t="shared" si="2"/>
        <v>32273065.200000003</v>
      </c>
      <c r="G92" s="131">
        <f t="shared" si="2"/>
        <v>34997647.499999993</v>
      </c>
      <c r="H92" s="131">
        <f t="shared" si="2"/>
        <v>81125896.189999983</v>
      </c>
      <c r="I92" s="132">
        <f t="shared" si="2"/>
        <v>263998542.69000003</v>
      </c>
    </row>
    <row r="99" spans="9:9" x14ac:dyDescent="0.35">
      <c r="I99" s="13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03"/>
  <sheetViews>
    <sheetView topLeftCell="B76" workbookViewId="0">
      <selection activeCell="E105" sqref="E105"/>
    </sheetView>
  </sheetViews>
  <sheetFormatPr defaultRowHeight="21" x14ac:dyDescent="0.5"/>
  <cols>
    <col min="1" max="1" width="84.54296875" style="13" customWidth="1"/>
    <col min="2" max="2" width="26.54296875" style="13" customWidth="1"/>
    <col min="3" max="3" width="29.54296875" style="13" customWidth="1"/>
    <col min="4" max="8" width="29.54296875" style="300" customWidth="1"/>
    <col min="9" max="25" width="27.453125" style="300" customWidth="1"/>
    <col min="26" max="26" width="22.54296875" style="300" customWidth="1"/>
    <col min="27" max="27" width="29.54296875" style="300" customWidth="1"/>
    <col min="28" max="28" width="24.08984375" style="300" customWidth="1"/>
    <col min="29" max="29" width="26.54296875" style="300" customWidth="1"/>
    <col min="30" max="30" width="15.36328125" bestFit="1" customWidth="1"/>
    <col min="31" max="31" width="12.54296875" bestFit="1" customWidth="1"/>
  </cols>
  <sheetData>
    <row r="1" spans="1:30" x14ac:dyDescent="0.5">
      <c r="A1" s="1032" t="s">
        <v>0</v>
      </c>
      <c r="AD1" s="682"/>
    </row>
    <row r="2" spans="1:30" ht="21.5" thickBot="1" x14ac:dyDescent="0.55000000000000004">
      <c r="A2" s="1032"/>
      <c r="C2" s="246">
        <f>B60-336939.71</f>
        <v>0</v>
      </c>
      <c r="AD2" s="682"/>
    </row>
    <row r="3" spans="1:30" ht="21.5" thickBot="1" x14ac:dyDescent="0.55000000000000004">
      <c r="A3" s="236">
        <v>41729</v>
      </c>
      <c r="B3" s="301" t="s">
        <v>293</v>
      </c>
      <c r="C3" s="301" t="s">
        <v>3</v>
      </c>
      <c r="D3" s="301" t="s">
        <v>5</v>
      </c>
      <c r="E3" s="301" t="s">
        <v>3</v>
      </c>
      <c r="F3" s="301" t="s">
        <v>5</v>
      </c>
      <c r="G3" s="301" t="s">
        <v>3</v>
      </c>
      <c r="H3" s="301" t="s">
        <v>5</v>
      </c>
      <c r="I3" s="301" t="s">
        <v>3</v>
      </c>
      <c r="J3" s="301" t="s">
        <v>5</v>
      </c>
      <c r="K3" s="301" t="s">
        <v>3</v>
      </c>
      <c r="L3" s="301" t="s">
        <v>5</v>
      </c>
      <c r="M3" s="301" t="s">
        <v>3</v>
      </c>
      <c r="N3" s="301" t="s">
        <v>5</v>
      </c>
      <c r="O3" s="301" t="s">
        <v>3</v>
      </c>
      <c r="P3" s="301" t="s">
        <v>5</v>
      </c>
      <c r="Q3" s="301" t="s">
        <v>5</v>
      </c>
      <c r="R3" s="301" t="s">
        <v>181</v>
      </c>
      <c r="S3" s="301" t="s">
        <v>5</v>
      </c>
      <c r="T3" s="301" t="s">
        <v>181</v>
      </c>
      <c r="U3" s="301" t="s">
        <v>5</v>
      </c>
      <c r="V3" s="301" t="s">
        <v>181</v>
      </c>
      <c r="W3" s="301" t="s">
        <v>5</v>
      </c>
      <c r="X3" s="301" t="s">
        <v>181</v>
      </c>
      <c r="Y3" s="301" t="s">
        <v>5</v>
      </c>
      <c r="Z3" s="301" t="s">
        <v>181</v>
      </c>
      <c r="AA3" s="301" t="s">
        <v>5</v>
      </c>
      <c r="AB3" s="301"/>
      <c r="AC3" s="329" t="s">
        <v>6</v>
      </c>
      <c r="AD3" s="682"/>
    </row>
    <row r="4" spans="1:30" ht="21.5" thickBot="1" x14ac:dyDescent="0.55000000000000004">
      <c r="A4" s="244" t="s">
        <v>1</v>
      </c>
      <c r="B4" s="302" t="s">
        <v>213</v>
      </c>
      <c r="C4" s="302" t="s">
        <v>294</v>
      </c>
      <c r="D4" s="303" t="s">
        <v>294</v>
      </c>
      <c r="E4" s="303" t="s">
        <v>295</v>
      </c>
      <c r="F4" s="303" t="s">
        <v>295</v>
      </c>
      <c r="G4" s="303" t="s">
        <v>296</v>
      </c>
      <c r="H4" s="303" t="s">
        <v>296</v>
      </c>
      <c r="I4" s="304" t="s">
        <v>297</v>
      </c>
      <c r="J4" s="303" t="s">
        <v>298</v>
      </c>
      <c r="K4" s="304" t="s">
        <v>299</v>
      </c>
      <c r="L4" s="304" t="s">
        <v>299</v>
      </c>
      <c r="M4" s="304" t="s">
        <v>300</v>
      </c>
      <c r="N4" s="304" t="s">
        <v>300</v>
      </c>
      <c r="O4" s="304" t="s">
        <v>301</v>
      </c>
      <c r="P4" s="304" t="s">
        <v>301</v>
      </c>
      <c r="Q4" s="304" t="s">
        <v>301</v>
      </c>
      <c r="R4" s="304" t="s">
        <v>302</v>
      </c>
      <c r="S4" s="304" t="s">
        <v>302</v>
      </c>
      <c r="T4" s="304" t="s">
        <v>303</v>
      </c>
      <c r="U4" s="304" t="s">
        <v>303</v>
      </c>
      <c r="V4" s="304" t="s">
        <v>304</v>
      </c>
      <c r="W4" s="304" t="s">
        <v>304</v>
      </c>
      <c r="X4" s="304" t="s">
        <v>305</v>
      </c>
      <c r="Y4" s="304" t="s">
        <v>305</v>
      </c>
      <c r="Z4" s="304" t="s">
        <v>306</v>
      </c>
      <c r="AA4" s="304" t="s">
        <v>306</v>
      </c>
      <c r="AB4" s="333" t="s">
        <v>307</v>
      </c>
      <c r="AC4" s="330"/>
      <c r="AD4" s="682"/>
    </row>
    <row r="5" spans="1:30" x14ac:dyDescent="0.5">
      <c r="A5" s="293" t="s">
        <v>25</v>
      </c>
      <c r="B5" s="295">
        <f>Sheet3!AB10</f>
        <v>31720442.010000002</v>
      </c>
      <c r="C5" s="295"/>
      <c r="D5" s="305">
        <v>4471464.54</v>
      </c>
      <c r="E5" s="305">
        <v>5244566.1900000004</v>
      </c>
      <c r="F5" s="305">
        <v>6021512.5499999998</v>
      </c>
      <c r="G5" s="306"/>
      <c r="H5" s="306">
        <v>5094542</v>
      </c>
      <c r="I5" s="306"/>
      <c r="J5" s="306">
        <v>4038698.3</v>
      </c>
      <c r="K5" s="306"/>
      <c r="L5" s="306">
        <v>3347624.24</v>
      </c>
      <c r="M5" s="306">
        <v>0</v>
      </c>
      <c r="N5" s="306">
        <v>6421416.8499999996</v>
      </c>
      <c r="O5" s="306"/>
      <c r="P5" s="306">
        <v>4558108.79</v>
      </c>
      <c r="Q5" s="306">
        <v>3251077.75</v>
      </c>
      <c r="R5" s="306"/>
      <c r="S5" s="306">
        <v>4890886.28</v>
      </c>
      <c r="T5" s="307">
        <v>6598701.9900000002</v>
      </c>
      <c r="U5" s="307">
        <v>5261310.0599999996</v>
      </c>
      <c r="V5" s="307"/>
      <c r="W5" s="307">
        <v>6186075.8200000003</v>
      </c>
      <c r="X5" s="307"/>
      <c r="Y5" s="307">
        <v>4556441.34</v>
      </c>
      <c r="Z5" s="307"/>
      <c r="AA5" s="307">
        <v>5614297.4400000004</v>
      </c>
      <c r="AB5" s="307"/>
      <c r="AC5" s="306">
        <f>B5-C5+D5-E5+F5-G5+H5-I5+J5-K5+L5-M5+N5-O5+P5+Q5-R5+S5-T5+U5-V5+W5-X5+Y5-Z5+AA5-AB5</f>
        <v>83590629.789999992</v>
      </c>
      <c r="AD5" s="682"/>
    </row>
    <row r="6" spans="1:30" x14ac:dyDescent="0.5">
      <c r="A6" s="293" t="s">
        <v>24</v>
      </c>
      <c r="B6" s="295">
        <v>19451654.41</v>
      </c>
      <c r="C6" s="295">
        <f>229785.97+53548.22</f>
        <v>283334.19</v>
      </c>
      <c r="D6" s="305">
        <v>6372767.7800000003</v>
      </c>
      <c r="E6" s="305">
        <f>225634.96+173215.85+556077.62</f>
        <v>954928.42999999993</v>
      </c>
      <c r="F6" s="305">
        <v>4600229.79</v>
      </c>
      <c r="G6" s="306">
        <f>239383.54+1187628.59+247364.24+14616+612786.53+956250.38</f>
        <v>3258029.2800000003</v>
      </c>
      <c r="H6" s="306">
        <v>4489391.93</v>
      </c>
      <c r="I6" s="306">
        <f>810264.32+788177.16+927928.72+819952.69+466635.54+892402.7</f>
        <v>4705361.13</v>
      </c>
      <c r="J6" s="306">
        <v>4141788.31</v>
      </c>
      <c r="K6" s="306">
        <f>288085.45+1045183.68+206720.73+983657.82+127232.26+1866279.56</f>
        <v>4517159.5</v>
      </c>
      <c r="L6" s="306">
        <v>5342052.82</v>
      </c>
      <c r="M6" s="306">
        <f>134215.27+82161.44+630407.65+317327.91+615043.62+1885070.74+146487.71</f>
        <v>3810714.34</v>
      </c>
      <c r="N6" s="306">
        <v>4587385.3899999997</v>
      </c>
      <c r="O6" s="306">
        <v>2363592.9700000002</v>
      </c>
      <c r="P6" s="306">
        <v>4881151.7699999996</v>
      </c>
      <c r="Q6" s="306">
        <v>217586.99</v>
      </c>
      <c r="R6" s="306">
        <v>3916525.34</v>
      </c>
      <c r="S6" s="306">
        <v>4388457.07</v>
      </c>
      <c r="T6" s="307">
        <f>821161.41+108514.05+280655.61</f>
        <v>1210331.07</v>
      </c>
      <c r="U6" s="307">
        <v>10642476.529999999</v>
      </c>
      <c r="V6" s="307">
        <f>273769.54+47651.59+1672100.4</f>
        <v>1993521.5299999998</v>
      </c>
      <c r="W6" s="307">
        <v>7107856.2000000002</v>
      </c>
      <c r="X6" s="307">
        <f>225994.64+35723.86+286032.09+1276156.65+1863090.14+250205.81+138080.53+74392.25+221626</f>
        <v>4371301.97</v>
      </c>
      <c r="Y6" s="307">
        <v>4990353.55</v>
      </c>
      <c r="Z6" s="307">
        <v>7165211</v>
      </c>
      <c r="AA6" s="307">
        <v>4456186.6100000003</v>
      </c>
      <c r="AB6" s="307"/>
      <c r="AC6" s="306">
        <f t="shared" ref="AC6:AC69" si="0">B6-C6+D6-E6+F6-G6+H6-I6+J6-K6+L6-M6+N6-O6+P6+Q6-R6+S6-T6+U6-V6+W6-X6+Y6-Z6+AA6-AB6</f>
        <v>47119328.399999999</v>
      </c>
      <c r="AD6" s="133">
        <f>Z6-7165211</f>
        <v>0</v>
      </c>
    </row>
    <row r="7" spans="1:30" x14ac:dyDescent="0.5">
      <c r="A7" s="293" t="s">
        <v>23</v>
      </c>
      <c r="B7" s="295">
        <f>Sheet3!AB8</f>
        <v>13266422.330000002</v>
      </c>
      <c r="C7" s="295"/>
      <c r="D7" s="305">
        <v>11726631.310000001</v>
      </c>
      <c r="E7" s="305">
        <v>10129504.41</v>
      </c>
      <c r="F7" s="305">
        <v>9906982.0800000001</v>
      </c>
      <c r="G7" s="306">
        <v>8462912.8300000001</v>
      </c>
      <c r="H7" s="306">
        <v>7591479.96</v>
      </c>
      <c r="I7" s="306"/>
      <c r="J7" s="306">
        <v>6833452.2199999997</v>
      </c>
      <c r="K7" s="306">
        <f>9900811.28+7586221.85</f>
        <v>17487033.129999999</v>
      </c>
      <c r="L7" s="306">
        <v>9625354.5299999993</v>
      </c>
      <c r="M7" s="306">
        <v>6828288.7300000004</v>
      </c>
      <c r="N7" s="306">
        <v>9440603.8399999999</v>
      </c>
      <c r="O7" s="306">
        <v>9410585.4600000009</v>
      </c>
      <c r="P7" s="306">
        <v>7843408.8600000003</v>
      </c>
      <c r="Q7" s="306">
        <v>14429579.880000001</v>
      </c>
      <c r="R7" s="306">
        <v>9435345.7300000004</v>
      </c>
      <c r="S7" s="306">
        <v>8751513.6400000006</v>
      </c>
      <c r="T7" s="307">
        <f>7837975.48+14429579.88</f>
        <v>22267555.359999999</v>
      </c>
      <c r="U7" s="307">
        <v>12717976.199999999</v>
      </c>
      <c r="V7" s="307"/>
      <c r="W7" s="307">
        <v>10936948.24</v>
      </c>
      <c r="X7" s="307">
        <f>8570271.01+8122723.18</f>
        <v>16692994.189999999</v>
      </c>
      <c r="Y7" s="307">
        <v>9552747.3300000001</v>
      </c>
      <c r="Z7" s="307">
        <f>8444582.83+170669.33+8738482.24</f>
        <v>17353734.399999999</v>
      </c>
      <c r="AA7" s="307">
        <v>8045032.71</v>
      </c>
      <c r="AB7" s="307">
        <v>11419184.890000001</v>
      </c>
      <c r="AC7" s="306">
        <f t="shared" si="0"/>
        <v>11180994</v>
      </c>
      <c r="AD7" s="133">
        <f>AC7-11180994</f>
        <v>0</v>
      </c>
    </row>
    <row r="8" spans="1:30" x14ac:dyDescent="0.5">
      <c r="A8" s="293" t="s">
        <v>38</v>
      </c>
      <c r="B8" s="295">
        <f>Sheet3!AB22</f>
        <v>8716939.3399999999</v>
      </c>
      <c r="C8" s="295"/>
      <c r="D8" s="305">
        <v>1218924.02</v>
      </c>
      <c r="E8" s="305"/>
      <c r="F8" s="305">
        <v>1144201.68</v>
      </c>
      <c r="G8" s="306"/>
      <c r="H8" s="306">
        <v>1745644.8</v>
      </c>
      <c r="I8" s="306">
        <v>943992.94</v>
      </c>
      <c r="J8" s="306">
        <v>1115988.3799999999</v>
      </c>
      <c r="K8" s="306">
        <f>1222533.6+4211687.34+1002668.53</f>
        <v>6436889.4699999997</v>
      </c>
      <c r="L8" s="306">
        <v>1245920.2</v>
      </c>
      <c r="M8" s="306">
        <f>1144201.68+1745644.8</f>
        <v>2889846.48</v>
      </c>
      <c r="N8" s="306">
        <v>1804095.94</v>
      </c>
      <c r="O8" s="306">
        <v>2361908.58</v>
      </c>
      <c r="P8" s="306">
        <v>1172948.28</v>
      </c>
      <c r="Q8" s="306">
        <v>157167.69</v>
      </c>
      <c r="R8" s="306"/>
      <c r="S8" s="306">
        <v>1363633.26</v>
      </c>
      <c r="T8" s="307">
        <v>0</v>
      </c>
      <c r="U8" s="307">
        <v>1107982.3500000001</v>
      </c>
      <c r="V8" s="307"/>
      <c r="W8" s="307">
        <v>1043160.99</v>
      </c>
      <c r="X8" s="307">
        <v>1172948.28</v>
      </c>
      <c r="Y8" s="307">
        <v>1227309.3999999999</v>
      </c>
      <c r="Z8" s="307">
        <v>1363633.26</v>
      </c>
      <c r="AA8" s="307">
        <v>1168657.8600000001</v>
      </c>
      <c r="AB8" s="307"/>
      <c r="AC8" s="306">
        <f t="shared" si="0"/>
        <v>9063355.1799999997</v>
      </c>
      <c r="AD8" s="682"/>
    </row>
    <row r="9" spans="1:30" x14ac:dyDescent="0.5">
      <c r="A9" s="245" t="s">
        <v>20</v>
      </c>
      <c r="B9" s="295">
        <f>Sheet3!AB6</f>
        <v>20629913.380000018</v>
      </c>
      <c r="C9" s="295"/>
      <c r="D9" s="305">
        <v>6582993.3499999996</v>
      </c>
      <c r="E9" s="305"/>
      <c r="F9" s="305">
        <v>6614103.3899999997</v>
      </c>
      <c r="G9" s="306"/>
      <c r="H9" s="306">
        <v>7118062.6200000001</v>
      </c>
      <c r="I9" s="306">
        <f>10950700.76+17477239.41</f>
        <v>28427940.170000002</v>
      </c>
      <c r="J9" s="306">
        <v>6572175.6100000003</v>
      </c>
      <c r="K9" s="306">
        <v>6699669.0499999998</v>
      </c>
      <c r="L9" s="306">
        <v>5790351.5099999998</v>
      </c>
      <c r="M9" s="306">
        <v>2614337.16</v>
      </c>
      <c r="N9" s="306">
        <v>8594385.5299999993</v>
      </c>
      <c r="O9" s="306">
        <v>0</v>
      </c>
      <c r="P9" s="306">
        <v>7518984.7400000002</v>
      </c>
      <c r="Q9" s="306">
        <v>4028800.14</v>
      </c>
      <c r="R9" s="306">
        <v>11807006.84</v>
      </c>
      <c r="S9" s="306">
        <v>7186445.6299999999</v>
      </c>
      <c r="T9" s="307">
        <v>0</v>
      </c>
      <c r="U9" s="307">
        <v>8053467.25</v>
      </c>
      <c r="V9" s="307"/>
      <c r="W9" s="307">
        <v>7695669.4500000002</v>
      </c>
      <c r="X9" s="307">
        <v>15622938.26</v>
      </c>
      <c r="Y9" s="307">
        <v>9301104.0199999996</v>
      </c>
      <c r="Z9" s="307">
        <f>3506377.77+14975720.59+451385.85</f>
        <v>18933484.210000001</v>
      </c>
      <c r="AA9" s="307">
        <v>9543705.8000000007</v>
      </c>
      <c r="AB9" s="307"/>
      <c r="AC9" s="306">
        <f t="shared" si="0"/>
        <v>31124786.730000015</v>
      </c>
      <c r="AD9" s="682"/>
    </row>
    <row r="10" spans="1:30" x14ac:dyDescent="0.5">
      <c r="A10" s="293" t="s">
        <v>21</v>
      </c>
      <c r="B10" s="295">
        <f>Sheet3!AB7</f>
        <v>10788133.949999999</v>
      </c>
      <c r="C10" s="295"/>
      <c r="D10" s="305">
        <v>2044203.34</v>
      </c>
      <c r="E10" s="305"/>
      <c r="F10" s="305">
        <v>2258576.52</v>
      </c>
      <c r="G10" s="306">
        <v>8386822.6600000001</v>
      </c>
      <c r="H10" s="306">
        <v>2220299.7400000002</v>
      </c>
      <c r="I10" s="306"/>
      <c r="J10" s="306">
        <v>2029408.96</v>
      </c>
      <c r="K10" s="306">
        <f>4292787.05+118488.2</f>
        <v>4411275.25</v>
      </c>
      <c r="L10" s="306">
        <v>2052325.94</v>
      </c>
      <c r="M10" s="306">
        <f>2027552.53+2214782.74</f>
        <v>4242335.2700000005</v>
      </c>
      <c r="N10" s="306">
        <v>3103731.65</v>
      </c>
      <c r="O10" s="306">
        <v>1995062.58</v>
      </c>
      <c r="P10" s="306">
        <v>2447443.02</v>
      </c>
      <c r="Q10" s="306">
        <v>72193.53</v>
      </c>
      <c r="R10" s="306">
        <v>2500461.5499999998</v>
      </c>
      <c r="S10" s="306">
        <v>2410367.91</v>
      </c>
      <c r="T10" s="307">
        <v>2443363.48</v>
      </c>
      <c r="U10" s="307">
        <v>2559813.5099999998</v>
      </c>
      <c r="V10" s="307"/>
      <c r="W10" s="307">
        <v>2751851.99</v>
      </c>
      <c r="X10" s="307">
        <v>2397065</v>
      </c>
      <c r="Y10" s="307">
        <v>2364187.9700000002</v>
      </c>
      <c r="Z10" s="307">
        <f>2694871.26+2559813.51</f>
        <v>5254684.7699999996</v>
      </c>
      <c r="AA10" s="307">
        <v>2731962.79</v>
      </c>
      <c r="AB10" s="307"/>
      <c r="AC10" s="306">
        <f t="shared" si="0"/>
        <v>8203430.259999997</v>
      </c>
      <c r="AD10" s="682"/>
    </row>
    <row r="11" spans="1:30" x14ac:dyDescent="0.5">
      <c r="A11" s="293" t="s">
        <v>31</v>
      </c>
      <c r="B11" s="295">
        <f>Sheet3!AB15</f>
        <v>8135091.5</v>
      </c>
      <c r="C11" s="295">
        <f>197676.05+5309.32</f>
        <v>202985.37</v>
      </c>
      <c r="D11" s="305">
        <v>2453507.9500000002</v>
      </c>
      <c r="E11" s="305"/>
      <c r="F11" s="305">
        <v>2215754.73</v>
      </c>
      <c r="G11" s="306">
        <f>1472038.26+291018.63+370055.84</f>
        <v>2133112.73</v>
      </c>
      <c r="H11" s="306">
        <v>2131174.86</v>
      </c>
      <c r="I11" s="306">
        <f>1759350.08+24469.02+2300420.72+629347.1</f>
        <v>4713586.92</v>
      </c>
      <c r="J11" s="306">
        <v>2453784.75</v>
      </c>
      <c r="K11" s="306">
        <f>137064.35+147308.61+3548636.41+2896.72</f>
        <v>3835906.0900000003</v>
      </c>
      <c r="L11" s="306">
        <v>1492528.45</v>
      </c>
      <c r="M11" s="306">
        <f>1937256.89+253486.04+188084.07+79248.87</f>
        <v>2458075.8699999996</v>
      </c>
      <c r="N11" s="306">
        <v>2788017.19</v>
      </c>
      <c r="O11" s="306">
        <v>2012897.89</v>
      </c>
      <c r="P11" s="306">
        <v>2083267.35</v>
      </c>
      <c r="Q11" s="306">
        <v>82765.649999999994</v>
      </c>
      <c r="R11" s="306">
        <v>3940925.49</v>
      </c>
      <c r="S11" s="306">
        <v>1986457.19</v>
      </c>
      <c r="T11" s="307">
        <f>273913.74+48839.14+103885.65</f>
        <v>426638.53</v>
      </c>
      <c r="U11" s="307">
        <v>1963343.7</v>
      </c>
      <c r="V11" s="307">
        <f>1694106.47+103184.24</f>
        <v>1797290.71</v>
      </c>
      <c r="W11" s="307">
        <v>1734852.47</v>
      </c>
      <c r="X11" s="307">
        <f>80241.57+1742133.4+1595163.59</f>
        <v>3417538.5600000001</v>
      </c>
      <c r="Y11" s="307">
        <v>2181021.09</v>
      </c>
      <c r="Z11" s="307">
        <f>134386.66+227383.82</f>
        <v>361770.48</v>
      </c>
      <c r="AA11" s="307">
        <v>2177161.66</v>
      </c>
      <c r="AB11" s="307"/>
      <c r="AC11" s="306">
        <f t="shared" si="0"/>
        <v>8577999.8999999985</v>
      </c>
      <c r="AD11" s="682"/>
    </row>
    <row r="12" spans="1:30" x14ac:dyDescent="0.5">
      <c r="A12" s="293" t="s">
        <v>35</v>
      </c>
      <c r="B12" s="295">
        <f>Sheet3!AB19</f>
        <v>12310677.189999999</v>
      </c>
      <c r="C12" s="295"/>
      <c r="D12" s="305">
        <v>758663.07</v>
      </c>
      <c r="E12" s="305">
        <f>2228486.7+674459.75+93411.77+14319.15+562.8+2429544.54</f>
        <v>5440784.71</v>
      </c>
      <c r="F12" s="305">
        <v>881233.85</v>
      </c>
      <c r="G12" s="306">
        <f>493456.22+665.1+808767.11+250089.06+30347.37+1493.02+16201.48</f>
        <v>1601019.36</v>
      </c>
      <c r="H12" s="306">
        <v>842813.05</v>
      </c>
      <c r="I12" s="306">
        <v>3837.8</v>
      </c>
      <c r="J12" s="306">
        <v>770165.9</v>
      </c>
      <c r="K12" s="306">
        <f>114674.88+1752714.6+6739+742049.57</f>
        <v>2616178.0499999998</v>
      </c>
      <c r="L12" s="306">
        <v>773075.35</v>
      </c>
      <c r="M12" s="306">
        <v>0</v>
      </c>
      <c r="N12" s="306">
        <v>964598.44</v>
      </c>
      <c r="O12" s="306">
        <v>4433840.29</v>
      </c>
      <c r="P12" s="306">
        <v>932807.7</v>
      </c>
      <c r="Q12" s="306">
        <v>725672.23</v>
      </c>
      <c r="R12" s="306">
        <v>7155.75</v>
      </c>
      <c r="S12" s="306">
        <v>991973.6</v>
      </c>
      <c r="T12" s="307">
        <f>224128.17+1513545.62</f>
        <v>1737673.79</v>
      </c>
      <c r="U12" s="307">
        <v>867878.91</v>
      </c>
      <c r="V12" s="307"/>
      <c r="W12" s="307">
        <v>1359581.2</v>
      </c>
      <c r="X12" s="307">
        <f>83488.83+424924.21+2225529.32</f>
        <v>2733942.36</v>
      </c>
      <c r="Y12" s="307">
        <v>940776</v>
      </c>
      <c r="Z12" s="307">
        <f>318666.8+686662.72+1222130.59</f>
        <v>2227460.1100000003</v>
      </c>
      <c r="AA12" s="307">
        <v>1176284.8500000001</v>
      </c>
      <c r="AB12" s="307"/>
      <c r="AC12" s="306">
        <f t="shared" si="0"/>
        <v>3494309.1200000006</v>
      </c>
      <c r="AD12" s="682"/>
    </row>
    <row r="13" spans="1:30" x14ac:dyDescent="0.5">
      <c r="A13" s="293" t="s">
        <v>189</v>
      </c>
      <c r="B13" s="295">
        <f>Sheet3!AB76</f>
        <v>4952722.63</v>
      </c>
      <c r="C13" s="295"/>
      <c r="D13" s="305">
        <v>321996.34999999998</v>
      </c>
      <c r="E13" s="305"/>
      <c r="F13" s="305">
        <v>322309.5</v>
      </c>
      <c r="G13" s="306"/>
      <c r="H13" s="306">
        <v>321996.34999999998</v>
      </c>
      <c r="I13" s="306"/>
      <c r="J13" s="306">
        <v>320117.46000000002</v>
      </c>
      <c r="K13" s="306"/>
      <c r="L13" s="306">
        <v>11899.64</v>
      </c>
      <c r="M13" s="306">
        <v>0</v>
      </c>
      <c r="N13" s="306">
        <v>634598.25</v>
      </c>
      <c r="O13" s="306"/>
      <c r="P13" s="306">
        <v>322309.5</v>
      </c>
      <c r="Q13" s="306"/>
      <c r="R13" s="306"/>
      <c r="S13" s="306">
        <v>0</v>
      </c>
      <c r="T13" s="307">
        <v>0</v>
      </c>
      <c r="U13" s="307">
        <v>0</v>
      </c>
      <c r="V13" s="307"/>
      <c r="W13" s="307">
        <v>0</v>
      </c>
      <c r="X13" s="307"/>
      <c r="Y13" s="307">
        <v>1603894.54</v>
      </c>
      <c r="Z13" s="307"/>
      <c r="AA13" s="307">
        <v>-48632</v>
      </c>
      <c r="AB13" s="307"/>
      <c r="AC13" s="306">
        <f t="shared" si="0"/>
        <v>8763212.2199999988</v>
      </c>
      <c r="AD13" s="682"/>
    </row>
    <row r="14" spans="1:30" x14ac:dyDescent="0.5">
      <c r="A14" s="293" t="s">
        <v>41</v>
      </c>
      <c r="B14" s="295">
        <f>Sheet3!AB24</f>
        <v>3136249.6599999992</v>
      </c>
      <c r="C14" s="295">
        <v>49272.06</v>
      </c>
      <c r="D14" s="305">
        <v>1803104.96</v>
      </c>
      <c r="E14" s="305">
        <v>1212992.83</v>
      </c>
      <c r="F14" s="305">
        <v>1946479.82</v>
      </c>
      <c r="G14" s="306">
        <f>2356738.83+2260.17</f>
        <v>2358999</v>
      </c>
      <c r="H14" s="306">
        <v>2060340.69</v>
      </c>
      <c r="I14" s="306">
        <v>1815622.07</v>
      </c>
      <c r="J14" s="306">
        <v>2262185.5299999998</v>
      </c>
      <c r="K14" s="306"/>
      <c r="L14" s="306">
        <v>1082041.06</v>
      </c>
      <c r="M14" s="306">
        <f>4077346.56+1258.9</f>
        <v>4078605.46</v>
      </c>
      <c r="N14" s="306">
        <v>3447064.22</v>
      </c>
      <c r="O14" s="306"/>
      <c r="P14" s="306">
        <v>2249529.09</v>
      </c>
      <c r="Q14" s="306">
        <v>0</v>
      </c>
      <c r="R14" s="306"/>
      <c r="S14" s="306">
        <v>0</v>
      </c>
      <c r="T14" s="307">
        <v>2842284.49</v>
      </c>
      <c r="U14" s="307">
        <v>0</v>
      </c>
      <c r="V14" s="307"/>
      <c r="W14" s="307">
        <v>0</v>
      </c>
      <c r="X14" s="307">
        <v>3689537.78</v>
      </c>
      <c r="Y14" s="307">
        <v>9217623.1400000006</v>
      </c>
      <c r="Z14" s="307">
        <v>9193876.4100000001</v>
      </c>
      <c r="AA14" s="307">
        <v>1967303.94</v>
      </c>
      <c r="AB14" s="307"/>
      <c r="AC14" s="306">
        <f t="shared" si="0"/>
        <v>3930732.0099999984</v>
      </c>
      <c r="AD14" s="682"/>
    </row>
    <row r="15" spans="1:30" x14ac:dyDescent="0.5">
      <c r="A15" s="293" t="s">
        <v>308</v>
      </c>
      <c r="B15" s="295"/>
      <c r="C15" s="295"/>
      <c r="D15" s="305"/>
      <c r="E15" s="305"/>
      <c r="F15" s="305"/>
      <c r="G15" s="306"/>
      <c r="H15" s="306"/>
      <c r="I15" s="306"/>
      <c r="J15" s="306"/>
      <c r="K15" s="306"/>
      <c r="L15" s="306"/>
      <c r="M15" s="306"/>
      <c r="N15" s="306"/>
      <c r="O15" s="306"/>
      <c r="P15" s="306"/>
      <c r="Q15" s="306">
        <v>894014.46</v>
      </c>
      <c r="R15" s="306"/>
      <c r="S15" s="306">
        <v>280682.26</v>
      </c>
      <c r="T15" s="307">
        <v>0</v>
      </c>
      <c r="U15" s="307">
        <v>242602.29</v>
      </c>
      <c r="V15" s="307"/>
      <c r="W15" s="307">
        <v>206255.67</v>
      </c>
      <c r="X15" s="307"/>
      <c r="Y15" s="307">
        <v>205911.71</v>
      </c>
      <c r="Z15" s="307">
        <v>493980.47</v>
      </c>
      <c r="AA15" s="307">
        <v>206117.47</v>
      </c>
      <c r="AB15" s="307"/>
      <c r="AC15" s="306">
        <f t="shared" si="0"/>
        <v>1541603.39</v>
      </c>
      <c r="AD15" s="682"/>
    </row>
    <row r="16" spans="1:30" x14ac:dyDescent="0.5">
      <c r="A16" s="293" t="s">
        <v>43</v>
      </c>
      <c r="B16" s="295">
        <f>Sheet3!AB26</f>
        <v>4462774.459999999</v>
      </c>
      <c r="C16" s="295"/>
      <c r="D16" s="305">
        <v>60383.3</v>
      </c>
      <c r="E16" s="305"/>
      <c r="F16" s="305">
        <v>62396.1</v>
      </c>
      <c r="G16" s="306"/>
      <c r="H16" s="306">
        <v>60383.3</v>
      </c>
      <c r="I16" s="306"/>
      <c r="J16" s="306">
        <v>48306.7</v>
      </c>
      <c r="K16" s="306"/>
      <c r="L16" s="306">
        <v>76485.600000000006</v>
      </c>
      <c r="M16" s="306">
        <v>0</v>
      </c>
      <c r="N16" s="306">
        <v>60383.3</v>
      </c>
      <c r="O16" s="306"/>
      <c r="P16" s="306">
        <v>-307955</v>
      </c>
      <c r="Q16" s="306"/>
      <c r="R16" s="306"/>
      <c r="S16" s="306">
        <v>0</v>
      </c>
      <c r="T16" s="307">
        <v>0</v>
      </c>
      <c r="U16" s="307">
        <v>0</v>
      </c>
      <c r="V16" s="307"/>
      <c r="W16" s="307">
        <v>0</v>
      </c>
      <c r="X16" s="307"/>
      <c r="Y16" s="307">
        <v>4674178.8499999996</v>
      </c>
      <c r="Z16" s="307"/>
      <c r="AA16" s="307">
        <v>0</v>
      </c>
      <c r="AB16" s="307"/>
      <c r="AC16" s="306">
        <f t="shared" si="0"/>
        <v>9197336.6099999975</v>
      </c>
      <c r="AD16" s="682"/>
    </row>
    <row r="17" spans="1:30" x14ac:dyDescent="0.5">
      <c r="A17" s="293" t="s">
        <v>90</v>
      </c>
      <c r="B17" s="295">
        <f>Sheet3!AB74</f>
        <v>6188200.9299999988</v>
      </c>
      <c r="C17" s="295">
        <f>1005070.24+997133.66</f>
        <v>2002203.9</v>
      </c>
      <c r="D17" s="305">
        <v>300920.24</v>
      </c>
      <c r="E17" s="305">
        <f>989453.82+300920.24</f>
        <v>1290374.06</v>
      </c>
      <c r="F17" s="305">
        <v>958729.33</v>
      </c>
      <c r="G17" s="306"/>
      <c r="H17" s="306">
        <v>975545.67</v>
      </c>
      <c r="I17" s="306">
        <f>958729.33+2977908.94</f>
        <v>3936638.27</v>
      </c>
      <c r="J17" s="306">
        <v>954622.37</v>
      </c>
      <c r="K17" s="306">
        <v>954622.37</v>
      </c>
      <c r="L17" s="306">
        <v>267984.46000000002</v>
      </c>
      <c r="M17" s="306">
        <v>0</v>
      </c>
      <c r="N17" s="306">
        <v>1693144.59</v>
      </c>
      <c r="O17" s="306"/>
      <c r="P17" s="306">
        <v>1005925.73</v>
      </c>
      <c r="Q17" s="306">
        <v>650784</v>
      </c>
      <c r="R17" s="306">
        <v>2699070.32</v>
      </c>
      <c r="S17" s="306">
        <v>1012877.13</v>
      </c>
      <c r="T17" s="307">
        <v>0</v>
      </c>
      <c r="U17" s="307">
        <v>1028898.46</v>
      </c>
      <c r="V17" s="307">
        <v>1012877.13</v>
      </c>
      <c r="W17" s="307">
        <v>1103735.1200000001</v>
      </c>
      <c r="X17" s="307">
        <v>1028898.46</v>
      </c>
      <c r="Y17" s="307">
        <v>718695.59</v>
      </c>
      <c r="Z17" s="307">
        <v>1103735.1200000001</v>
      </c>
      <c r="AA17" s="307">
        <v>871690.14</v>
      </c>
      <c r="AB17" s="307"/>
      <c r="AC17" s="306">
        <f t="shared" si="0"/>
        <v>3703334.1299999985</v>
      </c>
      <c r="AD17" s="682"/>
    </row>
    <row r="18" spans="1:30" x14ac:dyDescent="0.5">
      <c r="A18" s="293" t="s">
        <v>26</v>
      </c>
      <c r="B18" s="295">
        <f>Sheet3!AB11</f>
        <v>19888365.5</v>
      </c>
      <c r="C18" s="295"/>
      <c r="D18" s="305">
        <v>3382121.1</v>
      </c>
      <c r="E18" s="305">
        <f>3785086.99+16103278.51</f>
        <v>19888365.5</v>
      </c>
      <c r="F18" s="305">
        <v>4206697.9800000004</v>
      </c>
      <c r="G18" s="306">
        <v>0</v>
      </c>
      <c r="H18" s="306">
        <v>4116560.28</v>
      </c>
      <c r="I18" s="306">
        <v>7588819.0800000001</v>
      </c>
      <c r="J18" s="306">
        <v>3861732.86</v>
      </c>
      <c r="K18" s="306"/>
      <c r="L18" s="306">
        <v>3209718.03</v>
      </c>
      <c r="M18" s="306">
        <v>4116560.28</v>
      </c>
      <c r="N18" s="306">
        <v>6547529.5899999999</v>
      </c>
      <c r="O18" s="306"/>
      <c r="P18" s="306">
        <v>4315436.92</v>
      </c>
      <c r="Q18" s="306">
        <v>1480801.35</v>
      </c>
      <c r="R18" s="306"/>
      <c r="S18" s="306">
        <v>5183233.04</v>
      </c>
      <c r="T18" s="307">
        <v>0</v>
      </c>
      <c r="U18" s="307">
        <v>3792587.44</v>
      </c>
      <c r="V18" s="307"/>
      <c r="W18" s="307">
        <v>3615043.23</v>
      </c>
      <c r="X18" s="307"/>
      <c r="Y18" s="307">
        <v>4276371.74</v>
      </c>
      <c r="Z18" s="307">
        <f>3861732.86+14072684.54</f>
        <v>17934417.399999999</v>
      </c>
      <c r="AA18" s="307">
        <v>4438482.79</v>
      </c>
      <c r="AB18" s="307"/>
      <c r="AC18" s="306">
        <f t="shared" si="0"/>
        <v>22786519.590000004</v>
      </c>
      <c r="AD18" s="682"/>
    </row>
    <row r="19" spans="1:30" x14ac:dyDescent="0.5">
      <c r="A19" s="293" t="s">
        <v>34</v>
      </c>
      <c r="B19" s="295">
        <v>-5451868.2800000003</v>
      </c>
      <c r="C19" s="295"/>
      <c r="D19" s="305">
        <v>2938099.22</v>
      </c>
      <c r="E19" s="305"/>
      <c r="F19" s="305">
        <v>3201646.33</v>
      </c>
      <c r="G19" s="306"/>
      <c r="H19" s="306">
        <v>2963911.94</v>
      </c>
      <c r="I19" s="306">
        <v>687877.27</v>
      </c>
      <c r="J19" s="306">
        <v>2998208.34</v>
      </c>
      <c r="K19" s="306">
        <v>2963911.94</v>
      </c>
      <c r="L19" s="306">
        <v>1860841.95</v>
      </c>
      <c r="M19" s="306">
        <v>2998208.34</v>
      </c>
      <c r="N19" s="306">
        <v>4789912.18</v>
      </c>
      <c r="O19" s="306">
        <v>1860841.95</v>
      </c>
      <c r="P19" s="306">
        <v>3454130.24</v>
      </c>
      <c r="Q19" s="306">
        <v>43787</v>
      </c>
      <c r="R19" s="306">
        <v>4789912.18</v>
      </c>
      <c r="S19" s="306">
        <v>3290431.71</v>
      </c>
      <c r="T19" s="307">
        <f>3290431.71+43787+3454130.24</f>
        <v>6788348.9500000002</v>
      </c>
      <c r="U19" s="307">
        <v>3385340.2</v>
      </c>
      <c r="V19" s="307">
        <v>3216162.35</v>
      </c>
      <c r="W19" s="307">
        <v>2941906.94</v>
      </c>
      <c r="X19" s="307">
        <v>2846423.24</v>
      </c>
      <c r="Y19" s="307">
        <v>3802375.33</v>
      </c>
      <c r="Z19" s="307">
        <v>3802375.33</v>
      </c>
      <c r="AA19" s="307">
        <v>3490343.62</v>
      </c>
      <c r="AB19" s="307"/>
      <c r="AC19" s="306">
        <f t="shared" si="0"/>
        <v>3755005.169999999</v>
      </c>
      <c r="AD19" s="682"/>
    </row>
    <row r="20" spans="1:30" x14ac:dyDescent="0.5">
      <c r="A20" s="293" t="s">
        <v>89</v>
      </c>
      <c r="B20" s="295">
        <f>Sheet3!AB73</f>
        <v>3376993.7800000003</v>
      </c>
      <c r="C20" s="295">
        <f>435978+434892+428176+463970</f>
        <v>1763016</v>
      </c>
      <c r="D20" s="305">
        <v>917310.69</v>
      </c>
      <c r="E20" s="305">
        <f>442418+505141+338215.64+908666.97</f>
        <v>2194441.6100000003</v>
      </c>
      <c r="F20" s="305">
        <v>1165517.4099999999</v>
      </c>
      <c r="G20" s="306"/>
      <c r="H20" s="306">
        <v>1189241.57</v>
      </c>
      <c r="I20" s="306">
        <f>209844.36+505756+441803+77.5</f>
        <v>1157480.8599999999</v>
      </c>
      <c r="J20" s="306">
        <v>1259751.57</v>
      </c>
      <c r="K20" s="306">
        <f>534817+412742+234845.55</f>
        <v>1182404.55</v>
      </c>
      <c r="L20" s="306">
        <v>331716.05</v>
      </c>
      <c r="M20" s="306">
        <v>1259751.57</v>
      </c>
      <c r="N20" s="306">
        <v>2181076.64</v>
      </c>
      <c r="O20" s="306"/>
      <c r="P20" s="306">
        <v>1285971.68</v>
      </c>
      <c r="Q20" s="306">
        <v>224052</v>
      </c>
      <c r="R20" s="306"/>
      <c r="S20" s="306">
        <v>1465514.72</v>
      </c>
      <c r="T20" s="307">
        <f>508453+285958.64+527855+330180+528630+947559</f>
        <v>3128635.64</v>
      </c>
      <c r="U20" s="307">
        <v>1255957.04</v>
      </c>
      <c r="V20" s="307"/>
      <c r="W20" s="307">
        <v>1166401.1100000001</v>
      </c>
      <c r="X20" s="307"/>
      <c r="Y20" s="307">
        <v>1293287.51</v>
      </c>
      <c r="Z20" s="307">
        <f>517955.72+308398.04+947559+947559+947559+947559</f>
        <v>4616589.76</v>
      </c>
      <c r="AA20" s="307">
        <v>1200922.07</v>
      </c>
      <c r="AB20" s="307"/>
      <c r="AC20" s="306">
        <f t="shared" si="0"/>
        <v>3011393.8499999996</v>
      </c>
      <c r="AD20" s="682"/>
    </row>
    <row r="21" spans="1:30" x14ac:dyDescent="0.5">
      <c r="A21" s="293" t="s">
        <v>32</v>
      </c>
      <c r="B21" s="295">
        <f>Sheet3!AB16</f>
        <v>2122649.2700000005</v>
      </c>
      <c r="C21" s="295"/>
      <c r="D21" s="305">
        <v>248762.47</v>
      </c>
      <c r="E21" s="305">
        <v>959172.33</v>
      </c>
      <c r="F21" s="305">
        <v>495762.78</v>
      </c>
      <c r="G21" s="306"/>
      <c r="H21" s="306">
        <v>342589.69</v>
      </c>
      <c r="I21" s="306"/>
      <c r="J21" s="306">
        <v>297687.28000000003</v>
      </c>
      <c r="K21" s="306">
        <v>600937.31000000006</v>
      </c>
      <c r="L21" s="306">
        <v>285937.12</v>
      </c>
      <c r="M21" s="306">
        <v>325555.56</v>
      </c>
      <c r="N21" s="306">
        <v>286822.28000000003</v>
      </c>
      <c r="O21" s="306"/>
      <c r="P21" s="306">
        <v>315865.74</v>
      </c>
      <c r="Q21" s="306"/>
      <c r="R21" s="306">
        <v>288744</v>
      </c>
      <c r="S21" s="306">
        <v>250257.89</v>
      </c>
      <c r="T21" s="307">
        <v>284717.12</v>
      </c>
      <c r="U21" s="307">
        <v>377974.17</v>
      </c>
      <c r="V21" s="307"/>
      <c r="W21" s="307">
        <v>217211.14</v>
      </c>
      <c r="X21" s="307">
        <v>1230920.08</v>
      </c>
      <c r="Y21" s="307">
        <v>249395.45</v>
      </c>
      <c r="Z21" s="307">
        <f>804884.76+729287</f>
        <v>1534171.76</v>
      </c>
      <c r="AA21" s="307">
        <v>220717.32</v>
      </c>
      <c r="AB21" s="307">
        <v>266697.12</v>
      </c>
      <c r="AC21" s="306">
        <f t="shared" si="0"/>
        <v>220717.32000000152</v>
      </c>
      <c r="AD21" s="133"/>
    </row>
    <row r="22" spans="1:30" x14ac:dyDescent="0.5">
      <c r="A22" s="293" t="s">
        <v>30</v>
      </c>
      <c r="B22" s="295">
        <v>3822830.89</v>
      </c>
      <c r="C22" s="295">
        <f>1591107.39+2368926.9</f>
        <v>3960034.29</v>
      </c>
      <c r="D22" s="305">
        <v>2685548.89</v>
      </c>
      <c r="E22" s="305">
        <v>2683955.06</v>
      </c>
      <c r="F22" s="305">
        <v>1867424.84</v>
      </c>
      <c r="G22" s="306">
        <v>1858283.12</v>
      </c>
      <c r="H22" s="306">
        <v>2204923.5699999998</v>
      </c>
      <c r="I22" s="306"/>
      <c r="J22" s="306">
        <v>2602982.98</v>
      </c>
      <c r="K22" s="306">
        <f>2204923.57</f>
        <v>2204923.5699999998</v>
      </c>
      <c r="L22" s="306">
        <v>1551140.32</v>
      </c>
      <c r="M22" s="306">
        <v>2602982.98</v>
      </c>
      <c r="N22" s="306">
        <v>3885748.93</v>
      </c>
      <c r="O22" s="306">
        <v>3834569.99</v>
      </c>
      <c r="P22" s="306">
        <v>2525779.39</v>
      </c>
      <c r="Q22" s="306">
        <v>60386</v>
      </c>
      <c r="R22" s="306"/>
      <c r="S22" s="306">
        <v>2334027.5099999998</v>
      </c>
      <c r="T22" s="307">
        <v>4801135.82</v>
      </c>
      <c r="U22" s="307">
        <v>2675624.61</v>
      </c>
      <c r="V22" s="307"/>
      <c r="W22" s="307">
        <v>2796797.76</v>
      </c>
      <c r="X22" s="307">
        <f>4399814.75+96973.97</f>
        <v>4496788.72</v>
      </c>
      <c r="Y22" s="307">
        <v>2522741.2599999998</v>
      </c>
      <c r="Z22" s="307">
        <v>2486407.44</v>
      </c>
      <c r="AA22" s="307">
        <v>2355482.29</v>
      </c>
      <c r="AB22" s="307"/>
      <c r="AC22" s="306">
        <f t="shared" si="0"/>
        <v>4962358.25</v>
      </c>
      <c r="AD22" s="682"/>
    </row>
    <row r="23" spans="1:30" x14ac:dyDescent="0.5">
      <c r="A23" s="293" t="s">
        <v>27</v>
      </c>
      <c r="B23" s="295">
        <f>Sheet3!AB12</f>
        <v>2594403.5699999984</v>
      </c>
      <c r="C23" s="295">
        <f>3401909.61</f>
        <v>3401909.61</v>
      </c>
      <c r="D23" s="305">
        <v>3188168.7</v>
      </c>
      <c r="E23" s="305">
        <v>3188168.7</v>
      </c>
      <c r="F23" s="305">
        <v>2426513.3199999998</v>
      </c>
      <c r="G23" s="306">
        <v>2426513.3199999998</v>
      </c>
      <c r="H23" s="306">
        <v>2486072.38</v>
      </c>
      <c r="I23" s="306">
        <v>2486072.38</v>
      </c>
      <c r="J23" s="306">
        <v>3717563.27</v>
      </c>
      <c r="K23" s="306"/>
      <c r="L23" s="306">
        <v>1917916.05</v>
      </c>
      <c r="M23" s="306">
        <v>3717563.27</v>
      </c>
      <c r="N23" s="306">
        <v>4983578.71</v>
      </c>
      <c r="O23" s="306"/>
      <c r="P23" s="306">
        <v>2873781.86</v>
      </c>
      <c r="Q23" s="306">
        <v>112349.37</v>
      </c>
      <c r="R23" s="306">
        <v>6588669.1500000004</v>
      </c>
      <c r="S23" s="306">
        <v>3322086.36</v>
      </c>
      <c r="T23" s="307">
        <v>0</v>
      </c>
      <c r="U23" s="307">
        <v>1719201.22</v>
      </c>
      <c r="V23" s="307"/>
      <c r="W23" s="307">
        <v>2757638.95</v>
      </c>
      <c r="X23" s="307">
        <f>7798926.53+3186607.47</f>
        <v>10985534</v>
      </c>
      <c r="Y23" s="307">
        <v>1788497.74</v>
      </c>
      <c r="Z23" s="307">
        <v>1788497.74</v>
      </c>
      <c r="AA23" s="307">
        <v>1923566.34</v>
      </c>
      <c r="AB23" s="307"/>
      <c r="AC23" s="306">
        <f t="shared" si="0"/>
        <v>1228409.6699999964</v>
      </c>
      <c r="AD23" s="682"/>
    </row>
    <row r="24" spans="1:30" x14ac:dyDescent="0.5">
      <c r="A24" s="293" t="s">
        <v>196</v>
      </c>
      <c r="B24" s="295">
        <f>Sheet3!AB85</f>
        <v>1157863.2</v>
      </c>
      <c r="C24" s="295"/>
      <c r="D24" s="305">
        <v>108102.54</v>
      </c>
      <c r="E24" s="305"/>
      <c r="F24" s="305">
        <v>94224.18</v>
      </c>
      <c r="G24" s="306"/>
      <c r="H24" s="306">
        <v>86099.96</v>
      </c>
      <c r="I24" s="306"/>
      <c r="J24" s="306">
        <v>85154.39</v>
      </c>
      <c r="K24" s="306"/>
      <c r="L24" s="306">
        <v>130329.89</v>
      </c>
      <c r="M24" s="306">
        <v>0</v>
      </c>
      <c r="N24" s="306">
        <v>109397.49</v>
      </c>
      <c r="O24" s="306"/>
      <c r="P24" s="306">
        <v>70588.05</v>
      </c>
      <c r="Q24" s="306">
        <v>2019.35</v>
      </c>
      <c r="R24" s="306"/>
      <c r="S24" s="306">
        <v>54696.57</v>
      </c>
      <c r="T24" s="307">
        <v>0</v>
      </c>
      <c r="U24" s="307">
        <v>55684.12</v>
      </c>
      <c r="V24" s="307"/>
      <c r="W24" s="307">
        <v>51356.160000000003</v>
      </c>
      <c r="X24" s="307"/>
      <c r="Y24" s="307">
        <v>37246.99</v>
      </c>
      <c r="Z24" s="307"/>
      <c r="AA24" s="307">
        <v>19073.43</v>
      </c>
      <c r="AB24" s="307"/>
      <c r="AC24" s="306">
        <f t="shared" si="0"/>
        <v>2061836.3199999998</v>
      </c>
      <c r="AD24" s="682"/>
    </row>
    <row r="25" spans="1:30" x14ac:dyDescent="0.5">
      <c r="A25" s="293" t="s">
        <v>86</v>
      </c>
      <c r="B25" s="295">
        <f>Sheet3!AB70</f>
        <v>829119.83000000007</v>
      </c>
      <c r="C25" s="295">
        <v>694881.79</v>
      </c>
      <c r="D25" s="305">
        <v>301380.62</v>
      </c>
      <c r="E25" s="305">
        <v>301380.62</v>
      </c>
      <c r="F25" s="305">
        <v>663626.75</v>
      </c>
      <c r="G25" s="306"/>
      <c r="H25" s="306">
        <v>637980.93999999994</v>
      </c>
      <c r="I25" s="306">
        <f>637980.94</f>
        <v>637980.93999999994</v>
      </c>
      <c r="J25" s="306">
        <v>624001.15</v>
      </c>
      <c r="K25" s="306">
        <v>0</v>
      </c>
      <c r="L25" s="306">
        <v>421174.79</v>
      </c>
      <c r="M25" s="306">
        <v>0</v>
      </c>
      <c r="N25" s="306">
        <v>1146382.1000000001</v>
      </c>
      <c r="O25" s="306"/>
      <c r="P25" s="306">
        <v>793087.62</v>
      </c>
      <c r="Q25" s="306">
        <v>422623.1</v>
      </c>
      <c r="R25" s="306">
        <v>624011.15</v>
      </c>
      <c r="S25" s="306">
        <v>747968.8</v>
      </c>
      <c r="T25" s="307">
        <v>747968.8</v>
      </c>
      <c r="U25" s="307">
        <v>575762.46</v>
      </c>
      <c r="V25" s="307">
        <v>575762.46</v>
      </c>
      <c r="W25" s="307">
        <v>1105608.98</v>
      </c>
      <c r="X25" s="307"/>
      <c r="Y25" s="307">
        <v>455374.37</v>
      </c>
      <c r="Z25" s="307">
        <v>455374.37</v>
      </c>
      <c r="AA25" s="307">
        <v>714255.67</v>
      </c>
      <c r="AB25" s="307"/>
      <c r="AC25" s="306">
        <f t="shared" si="0"/>
        <v>5400987.0500000007</v>
      </c>
      <c r="AD25" s="133"/>
    </row>
    <row r="26" spans="1:30" x14ac:dyDescent="0.5">
      <c r="A26" s="293" t="s">
        <v>28</v>
      </c>
      <c r="B26" s="295">
        <f>Sheet3!AB13</f>
        <v>672140.41</v>
      </c>
      <c r="C26" s="295">
        <v>221481.34</v>
      </c>
      <c r="D26" s="305">
        <v>314656.15999999997</v>
      </c>
      <c r="E26" s="305"/>
      <c r="F26" s="305">
        <v>288331.49</v>
      </c>
      <c r="G26" s="306"/>
      <c r="H26" s="306">
        <v>285667.46999999997</v>
      </c>
      <c r="I26" s="306"/>
      <c r="J26" s="306">
        <v>453690.76</v>
      </c>
      <c r="K26" s="306"/>
      <c r="L26" s="306">
        <v>426842.93</v>
      </c>
      <c r="M26" s="306">
        <v>1226944.1599999999</v>
      </c>
      <c r="N26" s="306">
        <v>359276.46</v>
      </c>
      <c r="O26" s="306">
        <v>220058</v>
      </c>
      <c r="P26" s="306">
        <v>311274.95</v>
      </c>
      <c r="Q26" s="306">
        <v>18129.93</v>
      </c>
      <c r="R26" s="306">
        <v>411373.43</v>
      </c>
      <c r="S26" s="306">
        <v>291148.74</v>
      </c>
      <c r="T26" s="307">
        <v>0</v>
      </c>
      <c r="U26" s="307">
        <v>283143.67999999999</v>
      </c>
      <c r="V26" s="307"/>
      <c r="W26" s="307">
        <v>363482.47</v>
      </c>
      <c r="X26" s="307">
        <v>994493.29</v>
      </c>
      <c r="Y26" s="307">
        <v>302670.81</v>
      </c>
      <c r="Z26" s="307">
        <v>358653.91</v>
      </c>
      <c r="AA26" s="307">
        <v>267972.34000000003</v>
      </c>
      <c r="AB26" s="307"/>
      <c r="AC26" s="306">
        <f t="shared" si="0"/>
        <v>1205424.47</v>
      </c>
      <c r="AD26" s="682"/>
    </row>
    <row r="27" spans="1:30" x14ac:dyDescent="0.5">
      <c r="A27" s="293" t="s">
        <v>37</v>
      </c>
      <c r="B27" s="295">
        <f>Sheet3!AB21</f>
        <v>1436491.1500000004</v>
      </c>
      <c r="C27" s="295">
        <v>474598.64</v>
      </c>
      <c r="D27" s="305">
        <v>511343.53</v>
      </c>
      <c r="E27" s="305"/>
      <c r="F27" s="305">
        <v>457200.14</v>
      </c>
      <c r="G27" s="306">
        <v>511343.53</v>
      </c>
      <c r="H27" s="306">
        <v>450435</v>
      </c>
      <c r="I27" s="306">
        <f>551930.48</f>
        <v>551930.48</v>
      </c>
      <c r="J27" s="306">
        <v>395945.83</v>
      </c>
      <c r="K27" s="306"/>
      <c r="L27" s="306">
        <v>335871.42</v>
      </c>
      <c r="M27" s="306">
        <v>0</v>
      </c>
      <c r="N27" s="306">
        <v>688022.24</v>
      </c>
      <c r="O27" s="306">
        <v>1303580.97</v>
      </c>
      <c r="P27" s="306">
        <v>547850.34</v>
      </c>
      <c r="Q27" s="306">
        <v>18907.66</v>
      </c>
      <c r="R27" s="306"/>
      <c r="S27" s="306">
        <v>545917.05000000005</v>
      </c>
      <c r="T27" s="307">
        <v>0</v>
      </c>
      <c r="U27" s="307">
        <v>461999.22</v>
      </c>
      <c r="V27" s="307">
        <v>1023893.66</v>
      </c>
      <c r="W27" s="307">
        <v>452571.85</v>
      </c>
      <c r="X27" s="307"/>
      <c r="Y27" s="307">
        <v>539758.04</v>
      </c>
      <c r="Z27" s="307"/>
      <c r="AA27" s="307">
        <v>677307.23</v>
      </c>
      <c r="AB27" s="307"/>
      <c r="AC27" s="306">
        <f t="shared" si="0"/>
        <v>3654273.4200000009</v>
      </c>
      <c r="AD27" s="682"/>
    </row>
    <row r="28" spans="1:30" x14ac:dyDescent="0.5">
      <c r="A28" s="293" t="s">
        <v>44</v>
      </c>
      <c r="B28" s="295">
        <v>1289725.8700000001</v>
      </c>
      <c r="C28" s="295">
        <v>1241390.83</v>
      </c>
      <c r="D28" s="305">
        <v>787653.21</v>
      </c>
      <c r="E28" s="305">
        <v>664561.31000000006</v>
      </c>
      <c r="F28" s="305">
        <v>936379.24</v>
      </c>
      <c r="G28" s="306">
        <v>880101.24</v>
      </c>
      <c r="H28" s="306">
        <v>945648.3</v>
      </c>
      <c r="I28" s="306">
        <v>909370.3</v>
      </c>
      <c r="J28" s="306">
        <v>1132359.93</v>
      </c>
      <c r="K28" s="306">
        <v>1089805.93</v>
      </c>
      <c r="L28" s="306">
        <v>764452.85</v>
      </c>
      <c r="M28" s="306">
        <v>0</v>
      </c>
      <c r="N28" s="306">
        <v>1434592.43</v>
      </c>
      <c r="O28" s="306">
        <v>764452.85</v>
      </c>
      <c r="P28" s="306">
        <v>1014650.97</v>
      </c>
      <c r="Q28" s="306">
        <v>282946.01</v>
      </c>
      <c r="R28" s="306">
        <f>2339855.7+282946.01</f>
        <v>2622801.71</v>
      </c>
      <c r="S28" s="306">
        <v>985037.67</v>
      </c>
      <c r="T28" s="307">
        <v>948759.67</v>
      </c>
      <c r="U28" s="307">
        <v>984547.87</v>
      </c>
      <c r="V28" s="307">
        <v>948269.87</v>
      </c>
      <c r="W28" s="307">
        <v>1027902.61</v>
      </c>
      <c r="X28" s="307">
        <v>991624.61</v>
      </c>
      <c r="Y28" s="307">
        <v>1011220.34</v>
      </c>
      <c r="Z28" s="307">
        <v>0</v>
      </c>
      <c r="AA28" s="307">
        <v>736682.65</v>
      </c>
      <c r="AB28" s="307"/>
      <c r="AC28" s="306">
        <f t="shared" si="0"/>
        <v>2272661.6299999994</v>
      </c>
      <c r="AD28" s="682"/>
    </row>
    <row r="29" spans="1:30" x14ac:dyDescent="0.5">
      <c r="A29" s="293" t="s">
        <v>65</v>
      </c>
      <c r="B29" s="295">
        <f>Sheet3!AB48</f>
        <v>1084326.78</v>
      </c>
      <c r="C29" s="295"/>
      <c r="D29" s="305">
        <v>69463.039999999994</v>
      </c>
      <c r="E29" s="305"/>
      <c r="F29" s="305">
        <v>73982.47</v>
      </c>
      <c r="G29" s="306">
        <v>178533.45</v>
      </c>
      <c r="H29" s="306">
        <v>69319.679999999993</v>
      </c>
      <c r="I29" s="306"/>
      <c r="J29" s="306">
        <v>107302.08</v>
      </c>
      <c r="K29" s="306"/>
      <c r="L29" s="306">
        <v>53700.72</v>
      </c>
      <c r="M29" s="306">
        <f>143302.15+69463.04+107302.08+53700.72</f>
        <v>373767.99</v>
      </c>
      <c r="N29" s="306">
        <v>146494.67000000001</v>
      </c>
      <c r="O29" s="306"/>
      <c r="P29" s="306">
        <v>128340.04</v>
      </c>
      <c r="Q29" s="306">
        <v>8022.6</v>
      </c>
      <c r="R29" s="306">
        <v>146494.67000000001</v>
      </c>
      <c r="S29" s="306">
        <v>91795.69</v>
      </c>
      <c r="T29" s="307">
        <v>0</v>
      </c>
      <c r="U29" s="307">
        <v>63631.34</v>
      </c>
      <c r="V29" s="307"/>
      <c r="W29" s="307">
        <v>92366.399999999994</v>
      </c>
      <c r="X29" s="307"/>
      <c r="Y29" s="307">
        <v>93169.73</v>
      </c>
      <c r="Z29" s="307"/>
      <c r="AA29" s="307">
        <v>123686.93</v>
      </c>
      <c r="AB29" s="307"/>
      <c r="AC29" s="306">
        <f t="shared" si="0"/>
        <v>1506806.06</v>
      </c>
      <c r="AD29" s="682"/>
    </row>
    <row r="30" spans="1:30" x14ac:dyDescent="0.5">
      <c r="A30" s="293" t="s">
        <v>68</v>
      </c>
      <c r="B30" s="295">
        <f>Sheet3!AB51</f>
        <v>3000600.669999999</v>
      </c>
      <c r="C30" s="295"/>
      <c r="D30" s="305">
        <v>234506.08</v>
      </c>
      <c r="E30" s="305"/>
      <c r="F30" s="305">
        <v>239793.18</v>
      </c>
      <c r="G30" s="306"/>
      <c r="H30" s="306">
        <v>268117.93</v>
      </c>
      <c r="I30" s="306">
        <f>338706.94+517977.87+1595303.46+241407.42+474299.26</f>
        <v>3167694.95</v>
      </c>
      <c r="J30" s="306">
        <v>234741.01</v>
      </c>
      <c r="K30" s="306"/>
      <c r="L30" s="306">
        <v>339955.06</v>
      </c>
      <c r="M30" s="306">
        <f>330242.79+268117.93+234741.01</f>
        <v>833101.73</v>
      </c>
      <c r="N30" s="306">
        <v>309162.28000000003</v>
      </c>
      <c r="O30" s="306">
        <v>649117.34</v>
      </c>
      <c r="P30" s="306">
        <v>242216.2</v>
      </c>
      <c r="Q30" s="306"/>
      <c r="R30" s="306"/>
      <c r="S30" s="306">
        <v>250528.61</v>
      </c>
      <c r="T30" s="307">
        <v>0</v>
      </c>
      <c r="U30" s="307">
        <v>231648.67</v>
      </c>
      <c r="V30" s="307"/>
      <c r="W30" s="307">
        <v>221765.55</v>
      </c>
      <c r="X30" s="307">
        <f>724393.48</f>
        <v>724393.48</v>
      </c>
      <c r="Y30" s="307">
        <v>205253.32</v>
      </c>
      <c r="Z30" s="307">
        <v>221765.55</v>
      </c>
      <c r="AA30" s="307">
        <v>212494.11</v>
      </c>
      <c r="AB30" s="307"/>
      <c r="AC30" s="306">
        <f t="shared" si="0"/>
        <v>394709.6199999993</v>
      </c>
      <c r="AD30" s="682"/>
    </row>
    <row r="31" spans="1:30" x14ac:dyDescent="0.5">
      <c r="A31" s="293" t="s">
        <v>39</v>
      </c>
      <c r="B31" s="295">
        <v>2168803.91</v>
      </c>
      <c r="C31" s="295">
        <f>241911.84+153572.37+510917.97+48129.86+112469.78+322036.53+3467.34+14706.01+64441.11+9493.99+26615.73</f>
        <v>1507762.53</v>
      </c>
      <c r="D31" s="305">
        <v>442167.28</v>
      </c>
      <c r="E31" s="305">
        <f>55890.29+19717.45+6527+20754.87+10057.09+10071.07</f>
        <v>123017.76999999999</v>
      </c>
      <c r="F31" s="305">
        <v>455254.17</v>
      </c>
      <c r="G31" s="306">
        <f>164203.27+53419.1+79146.2+69549.16+99800.03+186313.98</f>
        <v>652431.74</v>
      </c>
      <c r="H31" s="306">
        <v>455473.18</v>
      </c>
      <c r="I31" s="306">
        <f>84735.55+28318.02+118051.23</f>
        <v>231104.8</v>
      </c>
      <c r="J31" s="306">
        <v>470704.27</v>
      </c>
      <c r="K31" s="306">
        <f>387028.3+68444.88</f>
        <v>455473.18</v>
      </c>
      <c r="L31" s="306">
        <v>216920.26</v>
      </c>
      <c r="M31" s="306">
        <f>8826.44+78346.39+31490.27+301058.26+7599.19</f>
        <v>427320.55</v>
      </c>
      <c r="N31" s="306">
        <v>715401.21</v>
      </c>
      <c r="O31" s="306">
        <v>714371.16</v>
      </c>
      <c r="P31" s="306">
        <v>454200.6</v>
      </c>
      <c r="Q31" s="306">
        <v>797.83</v>
      </c>
      <c r="R31" s="306">
        <v>304009.90000000002</v>
      </c>
      <c r="S31" s="306">
        <v>582461.56000000006</v>
      </c>
      <c r="T31" s="307">
        <f>215551.6+59313.69+70091.52+21771.45+24740.79</f>
        <v>391469.05000000005</v>
      </c>
      <c r="U31" s="307">
        <v>406387.85</v>
      </c>
      <c r="V31" s="307">
        <f>40297.37+298913.94+77749.37+11763.68+117167.91</f>
        <v>545892.27</v>
      </c>
      <c r="W31" s="307">
        <v>446944.26</v>
      </c>
      <c r="X31" s="307">
        <f>175886.96+7093.79+76278.43+25812.89+27079.95+69510.85+47520.39+78810.55</f>
        <v>507993.81</v>
      </c>
      <c r="Y31" s="307">
        <v>588742.42000000004</v>
      </c>
      <c r="Z31" s="307">
        <f>90181.91+566731.88+101536.33+18147.8+30564.7+19552.58+45099.54</f>
        <v>871814.74</v>
      </c>
      <c r="AA31" s="307">
        <v>492835.47</v>
      </c>
      <c r="AB31" s="307"/>
      <c r="AC31" s="306">
        <f t="shared" si="0"/>
        <v>1164432.77</v>
      </c>
      <c r="AD31" s="682"/>
    </row>
    <row r="32" spans="1:30" x14ac:dyDescent="0.5">
      <c r="A32" s="293" t="s">
        <v>52</v>
      </c>
      <c r="B32" s="295">
        <f>Sheet3!AB35</f>
        <v>980709.69000000006</v>
      </c>
      <c r="C32" s="295"/>
      <c r="D32" s="305">
        <v>0</v>
      </c>
      <c r="E32" s="305"/>
      <c r="F32" s="305">
        <v>5335.63</v>
      </c>
      <c r="G32" s="306"/>
      <c r="H32" s="306">
        <v>0</v>
      </c>
      <c r="I32" s="306"/>
      <c r="J32" s="306">
        <v>0</v>
      </c>
      <c r="K32" s="306"/>
      <c r="L32" s="306">
        <v>0</v>
      </c>
      <c r="M32" s="306">
        <v>0</v>
      </c>
      <c r="N32" s="306">
        <v>18382.68</v>
      </c>
      <c r="O32" s="306"/>
      <c r="P32" s="306">
        <v>24542.09</v>
      </c>
      <c r="Q32" s="306"/>
      <c r="R32" s="306"/>
      <c r="S32" s="306">
        <v>3217.17</v>
      </c>
      <c r="T32" s="307">
        <v>0</v>
      </c>
      <c r="U32" s="307">
        <v>6799.4</v>
      </c>
      <c r="V32" s="307"/>
      <c r="W32" s="307">
        <v>7300.59</v>
      </c>
      <c r="X32" s="307"/>
      <c r="Y32" s="307">
        <v>7146.89</v>
      </c>
      <c r="Z32" s="307"/>
      <c r="AA32" s="307">
        <v>6847.12</v>
      </c>
      <c r="AB32" s="307">
        <v>0</v>
      </c>
      <c r="AC32" s="306">
        <f t="shared" si="0"/>
        <v>1060281.2600000002</v>
      </c>
      <c r="AD32" s="682"/>
    </row>
    <row r="33" spans="1:31" x14ac:dyDescent="0.5">
      <c r="A33" s="293" t="s">
        <v>88</v>
      </c>
      <c r="B33" s="295">
        <v>491857.77</v>
      </c>
      <c r="C33" s="295">
        <f>801151.3</f>
        <v>801151.3</v>
      </c>
      <c r="D33" s="305">
        <v>371112.38</v>
      </c>
      <c r="E33" s="305"/>
      <c r="F33" s="305">
        <v>699394.12</v>
      </c>
      <c r="G33" s="306">
        <v>714692.38</v>
      </c>
      <c r="H33" s="306">
        <v>708745.1</v>
      </c>
      <c r="I33" s="306">
        <f>699394.12+708745.1</f>
        <v>1408139.22</v>
      </c>
      <c r="J33" s="306">
        <v>730924.38</v>
      </c>
      <c r="K33" s="306">
        <v>730924.38</v>
      </c>
      <c r="L33" s="332">
        <v>0</v>
      </c>
      <c r="M33" s="306">
        <v>0</v>
      </c>
      <c r="N33" s="306">
        <v>1239264.1399999999</v>
      </c>
      <c r="O33" s="306">
        <v>1239264.1399999999</v>
      </c>
      <c r="P33" s="306">
        <v>742928.61</v>
      </c>
      <c r="Q33" s="306">
        <v>528332</v>
      </c>
      <c r="R33" s="306"/>
      <c r="S33" s="306">
        <v>717521.28</v>
      </c>
      <c r="T33" s="307">
        <f>717521.28+742928.61</f>
        <v>1460449.8900000001</v>
      </c>
      <c r="U33" s="307">
        <v>707066.58</v>
      </c>
      <c r="V33" s="307">
        <v>707066.58</v>
      </c>
      <c r="W33" s="307">
        <v>653326.41</v>
      </c>
      <c r="X33" s="307"/>
      <c r="Y33" s="307">
        <v>743241.3</v>
      </c>
      <c r="Z33" s="307">
        <f>653326.41+743241.3</f>
        <v>1396567.71</v>
      </c>
      <c r="AA33" s="307">
        <v>711226.53</v>
      </c>
      <c r="AB33" s="307"/>
      <c r="AC33" s="306">
        <f t="shared" si="0"/>
        <v>586684.99999999977</v>
      </c>
      <c r="AD33" s="682"/>
      <c r="AE33" s="682"/>
    </row>
    <row r="34" spans="1:31" x14ac:dyDescent="0.5">
      <c r="A34" s="293" t="s">
        <v>53</v>
      </c>
      <c r="B34" s="295">
        <v>4387355.34</v>
      </c>
      <c r="C34" s="295"/>
      <c r="D34" s="305">
        <v>573024.79</v>
      </c>
      <c r="E34" s="305">
        <f>3334522.88+1201137.68</f>
        <v>4535660.5599999996</v>
      </c>
      <c r="F34" s="305">
        <v>1266397.6499999999</v>
      </c>
      <c r="G34" s="306">
        <v>573024.79</v>
      </c>
      <c r="H34" s="306">
        <v>1074164.0900000001</v>
      </c>
      <c r="I34" s="306">
        <f>1266397.65+1074164.09</f>
        <v>2340561.7400000002</v>
      </c>
      <c r="J34" s="306">
        <v>1022365</v>
      </c>
      <c r="K34" s="306">
        <v>1022365</v>
      </c>
      <c r="L34" s="306">
        <v>544374.18000000005</v>
      </c>
      <c r="M34" s="306">
        <v>0</v>
      </c>
      <c r="N34" s="306">
        <v>1760828.07</v>
      </c>
      <c r="O34" s="306">
        <v>554374.18000000005</v>
      </c>
      <c r="P34" s="306">
        <v>1279497.74</v>
      </c>
      <c r="Q34" s="306">
        <f>513719</f>
        <v>513719</v>
      </c>
      <c r="R34" s="306">
        <f>1760828.07+1271199.95</f>
        <v>3032028.02</v>
      </c>
      <c r="S34" s="306">
        <v>1105600.96</v>
      </c>
      <c r="T34" s="307">
        <f>1279497.74+1105600.96</f>
        <v>2385098.7000000002</v>
      </c>
      <c r="U34" s="307">
        <v>1043298.03</v>
      </c>
      <c r="V34" s="307"/>
      <c r="W34" s="307">
        <v>969174.94</v>
      </c>
      <c r="X34" s="307">
        <v>1043298.03</v>
      </c>
      <c r="Y34" s="307">
        <v>1091834.3999999999</v>
      </c>
      <c r="Z34" s="307"/>
      <c r="AA34" s="307">
        <v>1024942.23</v>
      </c>
      <c r="AB34" s="307"/>
      <c r="AC34" s="306">
        <f t="shared" si="0"/>
        <v>2170165.3999999994</v>
      </c>
      <c r="AD34" s="682"/>
      <c r="AE34" s="682"/>
    </row>
    <row r="35" spans="1:31" x14ac:dyDescent="0.5">
      <c r="A35" s="293" t="s">
        <v>54</v>
      </c>
      <c r="B35" s="295">
        <f>Sheet3!AB37</f>
        <v>916294.43</v>
      </c>
      <c r="C35" s="295"/>
      <c r="D35" s="305">
        <v>0</v>
      </c>
      <c r="E35" s="305"/>
      <c r="F35" s="305">
        <v>0</v>
      </c>
      <c r="G35" s="306"/>
      <c r="H35" s="306">
        <v>0</v>
      </c>
      <c r="I35" s="306"/>
      <c r="J35" s="306">
        <v>0</v>
      </c>
      <c r="K35" s="306"/>
      <c r="L35" s="306">
        <v>0</v>
      </c>
      <c r="M35" s="306">
        <v>0</v>
      </c>
      <c r="N35" s="306">
        <v>0</v>
      </c>
      <c r="O35" s="306"/>
      <c r="P35" s="306"/>
      <c r="Q35" s="306"/>
      <c r="R35" s="306"/>
      <c r="S35" s="306">
        <v>2647.81</v>
      </c>
      <c r="T35" s="307">
        <v>0</v>
      </c>
      <c r="U35" s="307">
        <v>0</v>
      </c>
      <c r="V35" s="307"/>
      <c r="W35" s="307">
        <v>0</v>
      </c>
      <c r="X35" s="307"/>
      <c r="Y35" s="307">
        <v>0</v>
      </c>
      <c r="Z35" s="307"/>
      <c r="AA35" s="307">
        <v>0</v>
      </c>
      <c r="AB35" s="307"/>
      <c r="AC35" s="306">
        <f t="shared" si="0"/>
        <v>918942.24000000011</v>
      </c>
      <c r="AD35" s="682"/>
      <c r="AE35" s="682"/>
    </row>
    <row r="36" spans="1:31" x14ac:dyDescent="0.5">
      <c r="A36" s="293" t="s">
        <v>36</v>
      </c>
      <c r="B36" s="295">
        <f>Sheet3!AB20</f>
        <v>987149.41000000027</v>
      </c>
      <c r="C36" s="295">
        <v>771531.84</v>
      </c>
      <c r="D36" s="305">
        <v>841123.86</v>
      </c>
      <c r="E36" s="305">
        <v>841123.86</v>
      </c>
      <c r="F36" s="305">
        <v>765322.52</v>
      </c>
      <c r="G36" s="306">
        <v>765322.52</v>
      </c>
      <c r="H36" s="306">
        <v>637271.93000000005</v>
      </c>
      <c r="I36" s="306"/>
      <c r="J36" s="306">
        <v>694328.09</v>
      </c>
      <c r="K36" s="306">
        <v>1509126.69</v>
      </c>
      <c r="L36" s="306">
        <v>530145.47</v>
      </c>
      <c r="M36" s="306">
        <v>0</v>
      </c>
      <c r="N36" s="306">
        <v>1218614.44</v>
      </c>
      <c r="O36" s="306">
        <v>530145.47</v>
      </c>
      <c r="P36" s="306">
        <v>823987.23</v>
      </c>
      <c r="Q36" s="306"/>
      <c r="R36" s="306"/>
      <c r="S36" s="306">
        <v>0</v>
      </c>
      <c r="T36" s="307">
        <v>823987.23</v>
      </c>
      <c r="U36" s="307">
        <v>0</v>
      </c>
      <c r="V36" s="307"/>
      <c r="W36" s="307">
        <v>0</v>
      </c>
      <c r="X36" s="307">
        <v>1218614.44</v>
      </c>
      <c r="Y36" s="307">
        <v>4242251.5599999996</v>
      </c>
      <c r="Z36" s="307"/>
      <c r="AA36" s="307">
        <v>707581.72</v>
      </c>
      <c r="AB36" s="307"/>
      <c r="AC36" s="306">
        <f t="shared" si="0"/>
        <v>4987924.18</v>
      </c>
      <c r="AD36" s="682"/>
      <c r="AE36" s="682"/>
    </row>
    <row r="37" spans="1:31" x14ac:dyDescent="0.5">
      <c r="A37" s="293" t="s">
        <v>187</v>
      </c>
      <c r="B37" s="295">
        <f>Sheet3!AB52</f>
        <v>804890.82000000018</v>
      </c>
      <c r="C37" s="295"/>
      <c r="D37" s="305">
        <v>12439.63</v>
      </c>
      <c r="E37" s="305"/>
      <c r="F37" s="305">
        <v>10717.8</v>
      </c>
      <c r="G37" s="306"/>
      <c r="H37" s="306">
        <v>1721.22</v>
      </c>
      <c r="I37" s="306"/>
      <c r="J37" s="306">
        <v>2759.76</v>
      </c>
      <c r="K37" s="306"/>
      <c r="L37" s="306">
        <v>2414.79</v>
      </c>
      <c r="M37" s="306">
        <v>715631.94</v>
      </c>
      <c r="N37" s="306">
        <v>0</v>
      </c>
      <c r="O37" s="306"/>
      <c r="P37" s="306">
        <v>0</v>
      </c>
      <c r="Q37" s="306"/>
      <c r="R37" s="306"/>
      <c r="S37" s="306">
        <v>0</v>
      </c>
      <c r="T37" s="307">
        <v>0</v>
      </c>
      <c r="U37" s="307">
        <v>0</v>
      </c>
      <c r="V37" s="307"/>
      <c r="W37" s="307">
        <v>0</v>
      </c>
      <c r="X37" s="307"/>
      <c r="Y37" s="307">
        <v>0</v>
      </c>
      <c r="Z37" s="307"/>
      <c r="AA37" s="307">
        <v>0</v>
      </c>
      <c r="AB37" s="307"/>
      <c r="AC37" s="306">
        <f t="shared" si="0"/>
        <v>119312.08000000031</v>
      </c>
      <c r="AD37" s="682"/>
      <c r="AE37" s="682"/>
    </row>
    <row r="38" spans="1:31" x14ac:dyDescent="0.5">
      <c r="A38" s="293" t="s">
        <v>186</v>
      </c>
      <c r="B38" s="295">
        <f>Sheet3!AB45</f>
        <v>846166.2000000003</v>
      </c>
      <c r="C38" s="295">
        <f>32847.63</f>
        <v>32847.629999999997</v>
      </c>
      <c r="D38" s="305">
        <v>33474.14</v>
      </c>
      <c r="E38" s="305"/>
      <c r="F38" s="305">
        <v>36201.480000000003</v>
      </c>
      <c r="G38" s="306"/>
      <c r="H38" s="306">
        <v>35278.19</v>
      </c>
      <c r="I38" s="306">
        <f>68429.24+36201.48</f>
        <v>104630.72</v>
      </c>
      <c r="J38" s="306">
        <v>26875.23</v>
      </c>
      <c r="K38" s="306">
        <f>35278.19+26875.23</f>
        <v>62153.42</v>
      </c>
      <c r="L38" s="306">
        <v>44568.63</v>
      </c>
      <c r="M38" s="306">
        <v>44568.63</v>
      </c>
      <c r="N38" s="306">
        <v>33006.04</v>
      </c>
      <c r="O38" s="306">
        <v>33006.04</v>
      </c>
      <c r="P38" s="306">
        <v>36498.29</v>
      </c>
      <c r="Q38" s="306"/>
      <c r="R38" s="306"/>
      <c r="S38" s="306">
        <v>34395.65</v>
      </c>
      <c r="T38" s="307">
        <v>0</v>
      </c>
      <c r="U38" s="307">
        <v>32768.480000000003</v>
      </c>
      <c r="V38" s="324">
        <v>36498.29</v>
      </c>
      <c r="W38" s="307">
        <v>31293.58</v>
      </c>
      <c r="X38" s="307">
        <v>67164.13</v>
      </c>
      <c r="Y38" s="307">
        <v>294055.71000000002</v>
      </c>
      <c r="Z38" s="307">
        <f>31293.58+24030.5</f>
        <v>55324.08</v>
      </c>
      <c r="AA38" s="307">
        <v>25921.200000000001</v>
      </c>
      <c r="AB38" s="307"/>
      <c r="AC38" s="306">
        <f t="shared" si="0"/>
        <v>1074309.8800000004</v>
      </c>
      <c r="AD38" s="682"/>
      <c r="AE38" s="682"/>
    </row>
    <row r="39" spans="1:31" x14ac:dyDescent="0.5">
      <c r="A39" s="293" t="s">
        <v>185</v>
      </c>
      <c r="B39" s="295">
        <v>1404422.44</v>
      </c>
      <c r="C39" s="295">
        <v>667550.43000000005</v>
      </c>
      <c r="D39" s="305">
        <v>628148.11</v>
      </c>
      <c r="E39" s="305">
        <v>676479.4</v>
      </c>
      <c r="F39" s="305">
        <v>644740.55000000005</v>
      </c>
      <c r="G39" s="306">
        <f>628148.11+644740.55</f>
        <v>1272888.6600000001</v>
      </c>
      <c r="H39" s="306">
        <v>640560.13</v>
      </c>
      <c r="I39" s="306"/>
      <c r="J39" s="306">
        <v>649626.85</v>
      </c>
      <c r="K39" s="306"/>
      <c r="L39" s="306">
        <v>357203.11</v>
      </c>
      <c r="M39" s="306">
        <f>640560.13+649626.85</f>
        <v>1290186.98</v>
      </c>
      <c r="N39" s="306">
        <v>1036970.76</v>
      </c>
      <c r="O39" s="306">
        <v>357203.11</v>
      </c>
      <c r="P39" s="306">
        <v>690581.9</v>
      </c>
      <c r="Q39" s="306">
        <v>7514.97</v>
      </c>
      <c r="R39" s="306">
        <v>1036970.76</v>
      </c>
      <c r="S39" s="306">
        <v>660623.9</v>
      </c>
      <c r="T39" s="307">
        <v>0</v>
      </c>
      <c r="U39" s="307">
        <v>647764.02</v>
      </c>
      <c r="V39" s="307">
        <v>698096.87</v>
      </c>
      <c r="W39" s="307">
        <v>655055.31999999995</v>
      </c>
      <c r="X39" s="307">
        <v>660623.9</v>
      </c>
      <c r="Y39" s="307">
        <v>704906</v>
      </c>
      <c r="Z39" s="307">
        <f>647764.02+655055.32</f>
        <v>1302819.3399999999</v>
      </c>
      <c r="AA39" s="307">
        <v>700495.03</v>
      </c>
      <c r="AB39" s="307"/>
      <c r="AC39" s="306">
        <f t="shared" si="0"/>
        <v>1465793.6399999994</v>
      </c>
      <c r="AD39" s="682"/>
      <c r="AE39" s="682"/>
    </row>
    <row r="40" spans="1:31" x14ac:dyDescent="0.5">
      <c r="A40" s="293" t="s">
        <v>49</v>
      </c>
      <c r="B40" s="295">
        <f>Sheet3!AB32</f>
        <v>636475</v>
      </c>
      <c r="C40" s="295"/>
      <c r="D40" s="305">
        <v>8692.2999999999993</v>
      </c>
      <c r="E40" s="305"/>
      <c r="F40" s="305">
        <v>20131.43</v>
      </c>
      <c r="G40" s="306"/>
      <c r="H40" s="306">
        <v>20473.45</v>
      </c>
      <c r="I40" s="306"/>
      <c r="J40" s="306">
        <v>20199.95</v>
      </c>
      <c r="K40" s="306"/>
      <c r="L40" s="306">
        <v>772.9</v>
      </c>
      <c r="M40" s="306">
        <v>0</v>
      </c>
      <c r="N40" s="306">
        <v>32201</v>
      </c>
      <c r="O40" s="306">
        <v>0</v>
      </c>
      <c r="P40" s="306"/>
      <c r="Q40" s="306"/>
      <c r="R40" s="306"/>
      <c r="S40" s="306">
        <v>0</v>
      </c>
      <c r="T40" s="307">
        <v>0</v>
      </c>
      <c r="U40" s="307">
        <v>0</v>
      </c>
      <c r="V40" s="307"/>
      <c r="W40" s="307">
        <v>0</v>
      </c>
      <c r="X40" s="307"/>
      <c r="Y40" s="307">
        <v>12653</v>
      </c>
      <c r="Z40" s="307"/>
      <c r="AA40" s="307">
        <v>0</v>
      </c>
      <c r="AB40" s="307"/>
      <c r="AC40" s="306">
        <f t="shared" si="0"/>
        <v>751599.03</v>
      </c>
      <c r="AD40" s="682"/>
      <c r="AE40" s="682"/>
    </row>
    <row r="41" spans="1:31" x14ac:dyDescent="0.5">
      <c r="A41" s="293" t="s">
        <v>67</v>
      </c>
      <c r="B41" s="295">
        <f>Sheet3!AB50</f>
        <v>711964.52299999993</v>
      </c>
      <c r="C41" s="295"/>
      <c r="D41" s="305">
        <v>112005.35</v>
      </c>
      <c r="E41" s="305">
        <v>382003.67</v>
      </c>
      <c r="F41" s="305">
        <v>103823.86</v>
      </c>
      <c r="G41" s="306"/>
      <c r="H41" s="306">
        <v>96806.63</v>
      </c>
      <c r="I41" s="306"/>
      <c r="J41" s="306">
        <v>107911.96</v>
      </c>
      <c r="K41" s="306">
        <f>111770.65+126210.14+98433.97+198938.57</f>
        <v>535353.33000000007</v>
      </c>
      <c r="L41" s="306">
        <v>43182.94</v>
      </c>
      <c r="M41" s="306">
        <v>0</v>
      </c>
      <c r="N41" s="306">
        <v>134465.47</v>
      </c>
      <c r="O41" s="306">
        <v>151094.9</v>
      </c>
      <c r="P41" s="306">
        <v>76319.55</v>
      </c>
      <c r="Q41" s="306">
        <v>723.25</v>
      </c>
      <c r="R41" s="306"/>
      <c r="S41" s="306">
        <v>110996.45</v>
      </c>
      <c r="T41" s="307">
        <v>0</v>
      </c>
      <c r="U41" s="307">
        <v>78922.320000000007</v>
      </c>
      <c r="V41" s="307">
        <f>208786.18+723.25</f>
        <v>209509.43</v>
      </c>
      <c r="W41" s="307">
        <v>106383.78</v>
      </c>
      <c r="X41" s="307"/>
      <c r="Y41" s="307">
        <v>80141.42</v>
      </c>
      <c r="Z41" s="307"/>
      <c r="AA41" s="307">
        <v>103267.7</v>
      </c>
      <c r="AB41" s="307"/>
      <c r="AC41" s="306">
        <f t="shared" si="0"/>
        <v>588953.87299999991</v>
      </c>
      <c r="AD41" s="682"/>
      <c r="AE41" s="682"/>
    </row>
    <row r="42" spans="1:31" x14ac:dyDescent="0.5">
      <c r="A42" s="293" t="s">
        <v>63</v>
      </c>
      <c r="B42" s="295">
        <f>Sheet3!AB46</f>
        <v>671031.49000000022</v>
      </c>
      <c r="C42" s="295">
        <v>162587.93</v>
      </c>
      <c r="D42" s="305">
        <v>39269.74</v>
      </c>
      <c r="E42" s="305"/>
      <c r="F42" s="305">
        <v>40249.68</v>
      </c>
      <c r="G42" s="306"/>
      <c r="H42" s="306">
        <v>39586.99</v>
      </c>
      <c r="I42" s="306"/>
      <c r="J42" s="306">
        <v>33593.19</v>
      </c>
      <c r="K42" s="306"/>
      <c r="L42" s="306">
        <v>51012.66</v>
      </c>
      <c r="M42" s="306">
        <v>0</v>
      </c>
      <c r="N42" s="306">
        <v>-73216.320000000007</v>
      </c>
      <c r="O42" s="306"/>
      <c r="P42" s="306">
        <v>19023.400000000001</v>
      </c>
      <c r="Q42" s="306"/>
      <c r="R42" s="306"/>
      <c r="S42" s="306">
        <v>18409.740000000002</v>
      </c>
      <c r="T42" s="307">
        <v>0</v>
      </c>
      <c r="U42" s="307">
        <v>227667.16</v>
      </c>
      <c r="V42" s="307"/>
      <c r="W42" s="307">
        <v>0</v>
      </c>
      <c r="X42" s="307"/>
      <c r="Y42" s="307">
        <v>0</v>
      </c>
      <c r="Z42" s="307"/>
      <c r="AA42" s="307">
        <v>0</v>
      </c>
      <c r="AB42" s="307"/>
      <c r="AC42" s="306">
        <f t="shared" si="0"/>
        <v>904039.80000000051</v>
      </c>
      <c r="AD42" s="682"/>
      <c r="AE42" s="682"/>
    </row>
    <row r="43" spans="1:31" x14ac:dyDescent="0.5">
      <c r="A43" s="293" t="s">
        <v>84</v>
      </c>
      <c r="B43" s="295">
        <f>Sheet3!AB68</f>
        <v>298810.81000000029</v>
      </c>
      <c r="C43" s="295">
        <v>297710.40000000002</v>
      </c>
      <c r="D43" s="305">
        <v>63165.93</v>
      </c>
      <c r="E43" s="305"/>
      <c r="F43" s="305">
        <v>289720.82</v>
      </c>
      <c r="G43" s="306"/>
      <c r="H43" s="306">
        <v>272842.53999999998</v>
      </c>
      <c r="I43" s="306"/>
      <c r="J43" s="306">
        <v>278577.49</v>
      </c>
      <c r="K43" s="306">
        <v>272842.53999999998</v>
      </c>
      <c r="L43" s="306">
        <f>80716.8+209821.2</f>
        <v>290538</v>
      </c>
      <c r="M43" s="306">
        <v>278577.49</v>
      </c>
      <c r="N43" s="306">
        <v>487572.23</v>
      </c>
      <c r="O43" s="306">
        <v>477805.66</v>
      </c>
      <c r="P43" s="306">
        <v>278644.34000000003</v>
      </c>
      <c r="Q43" s="306">
        <v>211164</v>
      </c>
      <c r="R43" s="306">
        <v>0</v>
      </c>
      <c r="S43" s="306">
        <v>284512.48</v>
      </c>
      <c r="T43" s="307">
        <v>284512.48</v>
      </c>
      <c r="U43" s="307">
        <v>277468.28999999998</v>
      </c>
      <c r="V43" s="307"/>
      <c r="W43" s="307">
        <f>202611+5274+48464.01</f>
        <v>256349.01</v>
      </c>
      <c r="X43" s="307"/>
      <c r="Y43" s="307">
        <v>281246.09000000003</v>
      </c>
      <c r="Z43" s="307">
        <f>78556.82+775829.63+836406.11</f>
        <v>1690792.56</v>
      </c>
      <c r="AA43" s="307">
        <v>233001.12</v>
      </c>
      <c r="AB43" s="307"/>
      <c r="AC43" s="306">
        <f t="shared" si="0"/>
        <v>501372.02000000037</v>
      </c>
      <c r="AD43" s="682"/>
      <c r="AE43" s="133"/>
    </row>
    <row r="44" spans="1:31" x14ac:dyDescent="0.5">
      <c r="A44" s="293" t="s">
        <v>42</v>
      </c>
      <c r="B44" s="295">
        <f>Sheet3!AB25</f>
        <v>381554.94000000012</v>
      </c>
      <c r="C44" s="295"/>
      <c r="D44" s="305">
        <v>399127.78</v>
      </c>
      <c r="E44" s="305">
        <v>376150.56</v>
      </c>
      <c r="F44" s="305">
        <v>413009.12</v>
      </c>
      <c r="G44" s="306">
        <f>399127.78+413009.12</f>
        <v>812136.9</v>
      </c>
      <c r="H44" s="306">
        <v>613111.81000000006</v>
      </c>
      <c r="I44" s="306">
        <f>613111.81</f>
        <v>613111.81000000006</v>
      </c>
      <c r="J44" s="306">
        <v>380628.76</v>
      </c>
      <c r="K44" s="306">
        <v>380628.76</v>
      </c>
      <c r="L44" s="306">
        <v>304599.78000000003</v>
      </c>
      <c r="M44" s="306">
        <v>0</v>
      </c>
      <c r="N44" s="306">
        <v>600420.19999999995</v>
      </c>
      <c r="O44" s="306"/>
      <c r="P44" s="306">
        <v>394973.31</v>
      </c>
      <c r="Q44" s="306">
        <v>896.74</v>
      </c>
      <c r="R44" s="306">
        <v>304599.78000000003</v>
      </c>
      <c r="S44" s="306">
        <v>404039.05</v>
      </c>
      <c r="T44" s="307">
        <v>600420.19999999995</v>
      </c>
      <c r="U44" s="307">
        <v>386655.28</v>
      </c>
      <c r="V44" s="307"/>
      <c r="W44" s="307">
        <v>341810.49</v>
      </c>
      <c r="X44" s="307">
        <v>404039.05</v>
      </c>
      <c r="Y44" s="307">
        <v>414086.26</v>
      </c>
      <c r="Z44" s="307">
        <v>781628.59</v>
      </c>
      <c r="AA44" s="307">
        <v>409389.87</v>
      </c>
      <c r="AB44" s="307"/>
      <c r="AC44" s="306">
        <f t="shared" si="0"/>
        <v>1171587.7400000002</v>
      </c>
      <c r="AD44" s="682"/>
      <c r="AE44" s="682"/>
    </row>
    <row r="45" spans="1:31" x14ac:dyDescent="0.5">
      <c r="A45" s="293" t="s">
        <v>194</v>
      </c>
      <c r="B45" s="295">
        <f>Sheet3!AB81</f>
        <v>421452.14</v>
      </c>
      <c r="C45" s="295"/>
      <c r="D45" s="305">
        <v>28211.62</v>
      </c>
      <c r="E45" s="305"/>
      <c r="F45" s="305">
        <v>28911.86</v>
      </c>
      <c r="G45" s="306"/>
      <c r="H45" s="306">
        <v>29015.21</v>
      </c>
      <c r="I45" s="306"/>
      <c r="J45" s="306">
        <v>21783.439999999999</v>
      </c>
      <c r="K45" s="306"/>
      <c r="L45" s="306">
        <v>36948.11</v>
      </c>
      <c r="M45" s="306">
        <v>0</v>
      </c>
      <c r="N45" s="306">
        <v>26103.68</v>
      </c>
      <c r="O45" s="306"/>
      <c r="P45" s="306">
        <v>26973.8</v>
      </c>
      <c r="Q45" s="306"/>
      <c r="R45" s="306"/>
      <c r="S45" s="306">
        <v>0</v>
      </c>
      <c r="T45" s="307">
        <v>0</v>
      </c>
      <c r="U45" s="307">
        <v>0</v>
      </c>
      <c r="V45" s="307"/>
      <c r="W45" s="307">
        <v>0</v>
      </c>
      <c r="X45" s="307"/>
      <c r="Y45" s="307">
        <v>540346.07999999996</v>
      </c>
      <c r="Z45" s="307">
        <v>1159745.94</v>
      </c>
      <c r="AA45" s="307">
        <v>0</v>
      </c>
      <c r="AB45" s="307"/>
      <c r="AC45" s="306">
        <f t="shared" si="0"/>
        <v>0</v>
      </c>
      <c r="AD45" s="682"/>
      <c r="AE45" s="682"/>
    </row>
    <row r="46" spans="1:31" x14ac:dyDescent="0.5">
      <c r="A46" s="293" t="s">
        <v>309</v>
      </c>
      <c r="B46" s="295"/>
      <c r="C46" s="295"/>
      <c r="D46" s="305"/>
      <c r="E46" s="305"/>
      <c r="F46" s="305"/>
      <c r="G46" s="306"/>
      <c r="H46" s="306"/>
      <c r="I46" s="306"/>
      <c r="J46" s="306">
        <v>5205.55</v>
      </c>
      <c r="K46" s="306"/>
      <c r="L46" s="306">
        <v>506.2</v>
      </c>
      <c r="M46" s="306">
        <v>0</v>
      </c>
      <c r="N46" s="306">
        <v>0</v>
      </c>
      <c r="O46" s="306"/>
      <c r="P46" s="306">
        <v>0</v>
      </c>
      <c r="Q46" s="306"/>
      <c r="R46" s="306"/>
      <c r="S46" s="306">
        <v>28948.63</v>
      </c>
      <c r="T46" s="307">
        <v>5711.75</v>
      </c>
      <c r="U46" s="307">
        <v>1817.13</v>
      </c>
      <c r="V46" s="307"/>
      <c r="W46" s="307">
        <v>0</v>
      </c>
      <c r="X46" s="307"/>
      <c r="Y46" s="307">
        <v>0</v>
      </c>
      <c r="Z46" s="307"/>
      <c r="AA46" s="307">
        <v>856.6</v>
      </c>
      <c r="AB46" s="307"/>
      <c r="AC46" s="306">
        <f t="shared" si="0"/>
        <v>31622.360000000004</v>
      </c>
      <c r="AD46" s="682"/>
      <c r="AE46" s="682"/>
    </row>
    <row r="47" spans="1:31" x14ac:dyDescent="0.5">
      <c r="A47" s="293" t="s">
        <v>57</v>
      </c>
      <c r="B47" s="295">
        <f>Sheet3!AB40</f>
        <v>571487.91999999981</v>
      </c>
      <c r="C47" s="295">
        <v>585743.82999999996</v>
      </c>
      <c r="D47" s="305">
        <v>474772.99</v>
      </c>
      <c r="E47" s="305">
        <v>474772.99</v>
      </c>
      <c r="F47" s="305">
        <v>514611.58</v>
      </c>
      <c r="G47" s="306"/>
      <c r="H47" s="306">
        <v>489673.42</v>
      </c>
      <c r="I47" s="306">
        <f>514611.58+489673.42</f>
        <v>1004285</v>
      </c>
      <c r="J47" s="306">
        <v>500936.04</v>
      </c>
      <c r="K47" s="306"/>
      <c r="L47" s="306">
        <v>198608.63</v>
      </c>
      <c r="M47" s="306">
        <v>477044.13</v>
      </c>
      <c r="N47" s="306">
        <v>824188.23</v>
      </c>
      <c r="O47" s="306">
        <f>198608.63+824188.23</f>
        <v>1022796.86</v>
      </c>
      <c r="P47" s="306">
        <v>843764.01</v>
      </c>
      <c r="Q47" s="306">
        <v>88001.54</v>
      </c>
      <c r="R47" s="306"/>
      <c r="S47" s="306">
        <v>759335.03</v>
      </c>
      <c r="T47" s="307">
        <f>721851.01+1048.54</f>
        <v>722899.55</v>
      </c>
      <c r="U47" s="307">
        <v>689233.75</v>
      </c>
      <c r="V47" s="307"/>
      <c r="W47" s="307">
        <v>677356.77</v>
      </c>
      <c r="X47" s="307">
        <v>1443115.78</v>
      </c>
      <c r="Y47" s="307">
        <v>714685.31</v>
      </c>
      <c r="Z47" s="307">
        <f>671903.77+707668.11</f>
        <v>1379571.88</v>
      </c>
      <c r="AA47" s="307">
        <v>755462.68</v>
      </c>
      <c r="AB47" s="307"/>
      <c r="AC47" s="306">
        <f t="shared" si="0"/>
        <v>991887.88</v>
      </c>
      <c r="AD47" s="682"/>
      <c r="AE47" s="682"/>
    </row>
    <row r="48" spans="1:31" x14ac:dyDescent="0.5">
      <c r="A48" s="293" t="s">
        <v>78</v>
      </c>
      <c r="B48" s="295">
        <f>Sheet3!AB61</f>
        <v>471246.52</v>
      </c>
      <c r="C48" s="295"/>
      <c r="D48" s="305">
        <v>0</v>
      </c>
      <c r="E48" s="305"/>
      <c r="F48" s="305">
        <v>0</v>
      </c>
      <c r="G48" s="306"/>
      <c r="H48" s="306">
        <v>0</v>
      </c>
      <c r="I48" s="306"/>
      <c r="J48" s="306">
        <v>0</v>
      </c>
      <c r="K48" s="306"/>
      <c r="L48" s="306">
        <v>0</v>
      </c>
      <c r="M48" s="306">
        <v>0</v>
      </c>
      <c r="N48" s="306">
        <v>0</v>
      </c>
      <c r="O48" s="306">
        <v>356320.8</v>
      </c>
      <c r="P48" s="306">
        <v>0</v>
      </c>
      <c r="Q48" s="306">
        <v>6417.73</v>
      </c>
      <c r="R48" s="306">
        <v>0</v>
      </c>
      <c r="S48" s="306">
        <v>0</v>
      </c>
      <c r="T48" s="307">
        <v>0</v>
      </c>
      <c r="U48" s="307">
        <v>0</v>
      </c>
      <c r="V48" s="307"/>
      <c r="W48" s="307">
        <v>0</v>
      </c>
      <c r="X48" s="307"/>
      <c r="Y48" s="307">
        <v>0</v>
      </c>
      <c r="Z48" s="307"/>
      <c r="AA48" s="307">
        <v>0</v>
      </c>
      <c r="AB48" s="307"/>
      <c r="AC48" s="306">
        <f t="shared" si="0"/>
        <v>121343.45000000003</v>
      </c>
      <c r="AD48" s="682"/>
      <c r="AE48" s="682"/>
    </row>
    <row r="49" spans="1:31" x14ac:dyDescent="0.5">
      <c r="A49" s="293" t="s">
        <v>75</v>
      </c>
      <c r="B49" s="295">
        <f>Sheet3!AB58</f>
        <v>258633.74000000002</v>
      </c>
      <c r="C49" s="295">
        <v>93097.78</v>
      </c>
      <c r="D49" s="305">
        <v>113482.95</v>
      </c>
      <c r="E49" s="305">
        <v>113482.95</v>
      </c>
      <c r="F49" s="305">
        <v>124619.67</v>
      </c>
      <c r="G49" s="306">
        <f>124619.67+163985.91</f>
        <v>288605.58</v>
      </c>
      <c r="H49" s="306">
        <v>455270.01</v>
      </c>
      <c r="I49" s="306"/>
      <c r="J49" s="306">
        <v>71812.960000000006</v>
      </c>
      <c r="K49" s="306">
        <v>455270.01</v>
      </c>
      <c r="L49" s="306">
        <v>114513.1</v>
      </c>
      <c r="M49" s="306">
        <v>71812.960000000006</v>
      </c>
      <c r="N49" s="306">
        <v>127194.59</v>
      </c>
      <c r="O49" s="306">
        <v>114513.1</v>
      </c>
      <c r="P49" s="306">
        <v>116089.76</v>
      </c>
      <c r="Q49" s="306">
        <v>5898</v>
      </c>
      <c r="R49" s="306">
        <v>127194.59</v>
      </c>
      <c r="S49" s="306">
        <v>115364.89</v>
      </c>
      <c r="T49" s="307">
        <v>0</v>
      </c>
      <c r="U49" s="307">
        <v>103902.67</v>
      </c>
      <c r="V49" s="307">
        <v>109800.67</v>
      </c>
      <c r="W49" s="307">
        <v>99143.9</v>
      </c>
      <c r="X49" s="307">
        <v>115364.89</v>
      </c>
      <c r="Y49" s="307">
        <v>99301.61</v>
      </c>
      <c r="Z49" s="307">
        <f>99301.61+99143.9+116089.76</f>
        <v>314535.27</v>
      </c>
      <c r="AA49" s="307">
        <v>103675.54</v>
      </c>
      <c r="AB49" s="307"/>
      <c r="AC49" s="306">
        <f t="shared" si="0"/>
        <v>105225.58999999992</v>
      </c>
      <c r="AD49" s="682"/>
      <c r="AE49" s="682"/>
    </row>
    <row r="50" spans="1:31" x14ac:dyDescent="0.5">
      <c r="A50" s="293" t="s">
        <v>60</v>
      </c>
      <c r="B50" s="295">
        <f>Sheet3!AB43</f>
        <v>908423.73000000045</v>
      </c>
      <c r="C50" s="295">
        <f>451580.621</f>
        <v>451580.62099999998</v>
      </c>
      <c r="D50" s="305">
        <v>385211.71</v>
      </c>
      <c r="E50" s="305">
        <v>457924.71</v>
      </c>
      <c r="F50" s="305">
        <v>403728.01</v>
      </c>
      <c r="G50" s="306">
        <v>385211.71</v>
      </c>
      <c r="H50" s="306">
        <v>447537.42</v>
      </c>
      <c r="I50" s="306">
        <v>403728.01</v>
      </c>
      <c r="J50" s="306">
        <v>411489.15</v>
      </c>
      <c r="K50" s="306">
        <v>859026.57</v>
      </c>
      <c r="L50" s="306">
        <v>173935.39</v>
      </c>
      <c r="M50" s="306">
        <v>0</v>
      </c>
      <c r="N50" s="306">
        <v>736044.26</v>
      </c>
      <c r="O50" s="306">
        <v>173935.39</v>
      </c>
      <c r="P50" s="306">
        <v>463648.16</v>
      </c>
      <c r="Q50" s="306">
        <v>3646.14</v>
      </c>
      <c r="R50" s="306"/>
      <c r="S50" s="306">
        <v>514971.25</v>
      </c>
      <c r="T50" s="307">
        <f>736044.26+463648.16</f>
        <v>1199692.42</v>
      </c>
      <c r="U50" s="307">
        <v>437047.32</v>
      </c>
      <c r="V50" s="324"/>
      <c r="W50" s="307">
        <v>434658.23</v>
      </c>
      <c r="X50" s="307">
        <f>514971.25+437047.32</f>
        <v>952018.57000000007</v>
      </c>
      <c r="Y50" s="307">
        <v>597103.53</v>
      </c>
      <c r="Z50" s="307">
        <v>434658.23</v>
      </c>
      <c r="AA50" s="307">
        <v>523023.66</v>
      </c>
      <c r="AB50" s="307"/>
      <c r="AC50" s="306">
        <f t="shared" si="0"/>
        <v>1122691.7290000003</v>
      </c>
      <c r="AD50" s="682"/>
      <c r="AE50" s="682"/>
    </row>
    <row r="51" spans="1:31" x14ac:dyDescent="0.5">
      <c r="A51" s="293" t="s">
        <v>58</v>
      </c>
      <c r="B51" s="295">
        <f>Sheet3!AB41</f>
        <v>881372.1100000001</v>
      </c>
      <c r="C51" s="295"/>
      <c r="D51" s="305">
        <v>781494.28</v>
      </c>
      <c r="E51" s="305">
        <f>395259.22+496534.87</f>
        <v>891794.09</v>
      </c>
      <c r="F51" s="305">
        <v>443634.82</v>
      </c>
      <c r="G51" s="306"/>
      <c r="H51" s="306">
        <v>410007.42</v>
      </c>
      <c r="I51" s="306">
        <v>1199804.8999999999</v>
      </c>
      <c r="J51" s="306">
        <v>437536.85</v>
      </c>
      <c r="K51" s="306">
        <v>380336.64000000001</v>
      </c>
      <c r="L51" s="306">
        <v>335237.52</v>
      </c>
      <c r="M51" s="306">
        <v>412745.23</v>
      </c>
      <c r="N51" s="306">
        <v>672512.46</v>
      </c>
      <c r="O51" s="306">
        <v>265393.23</v>
      </c>
      <c r="P51" s="306">
        <v>492410.57</v>
      </c>
      <c r="Q51" s="306">
        <v>371176.35</v>
      </c>
      <c r="R51" s="306">
        <f>606822.45</f>
        <v>606822.44999999995</v>
      </c>
      <c r="S51" s="306">
        <v>1285925.6399999999</v>
      </c>
      <c r="T51" s="307">
        <v>0</v>
      </c>
      <c r="U51" s="307">
        <v>416176.04</v>
      </c>
      <c r="V51" s="307">
        <v>784220.25</v>
      </c>
      <c r="W51" s="307">
        <v>394874.73</v>
      </c>
      <c r="X51" s="307">
        <f>398218.4+365125.82</f>
        <v>763344.22</v>
      </c>
      <c r="Y51" s="307">
        <v>424359.02</v>
      </c>
      <c r="Z51" s="307">
        <f>356763.18+382260.18</f>
        <v>739023.35999999999</v>
      </c>
      <c r="AA51" s="307">
        <v>439219.58</v>
      </c>
      <c r="AB51" s="307"/>
      <c r="AC51" s="306">
        <f t="shared" si="0"/>
        <v>1742453.02</v>
      </c>
      <c r="AD51" s="682"/>
      <c r="AE51" s="682"/>
    </row>
    <row r="52" spans="1:31" x14ac:dyDescent="0.5">
      <c r="A52" s="293" t="s">
        <v>71</v>
      </c>
      <c r="B52" s="295">
        <f>Sheet3!AB54</f>
        <v>444432.88</v>
      </c>
      <c r="C52" s="295">
        <v>0</v>
      </c>
      <c r="D52" s="305">
        <v>40093.19</v>
      </c>
      <c r="E52" s="305"/>
      <c r="F52" s="305">
        <v>33205.15</v>
      </c>
      <c r="G52" s="306"/>
      <c r="H52" s="306">
        <v>35806.620000000003</v>
      </c>
      <c r="I52" s="306">
        <v>132648.42000000001</v>
      </c>
      <c r="J52" s="306">
        <v>30970.51</v>
      </c>
      <c r="K52" s="306"/>
      <c r="L52" s="306">
        <v>12082.28</v>
      </c>
      <c r="M52" s="306">
        <v>0</v>
      </c>
      <c r="N52" s="306">
        <v>59898.7</v>
      </c>
      <c r="O52" s="306"/>
      <c r="P52" s="306">
        <v>31036.9</v>
      </c>
      <c r="Q52" s="306"/>
      <c r="R52" s="306">
        <v>66777.13</v>
      </c>
      <c r="S52" s="306">
        <v>35049.919999999998</v>
      </c>
      <c r="T52" s="307">
        <v>0</v>
      </c>
      <c r="U52" s="307">
        <v>34598.9</v>
      </c>
      <c r="V52" s="307"/>
      <c r="W52" s="307">
        <v>34686.129999999997</v>
      </c>
      <c r="X52" s="307"/>
      <c r="Y52" s="307">
        <v>33450.660000000003</v>
      </c>
      <c r="Z52" s="307">
        <f>65635.8+33450.66</f>
        <v>99086.46</v>
      </c>
      <c r="AA52" s="307">
        <v>34571.51</v>
      </c>
      <c r="AB52" s="307"/>
      <c r="AC52" s="306">
        <f t="shared" si="0"/>
        <v>561371.34000000008</v>
      </c>
      <c r="AD52" s="682"/>
      <c r="AE52" s="682"/>
    </row>
    <row r="53" spans="1:31" x14ac:dyDescent="0.5">
      <c r="A53" s="293" t="s">
        <v>73</v>
      </c>
      <c r="B53" s="295">
        <f>Sheet3!AB56</f>
        <v>361876.95999999979</v>
      </c>
      <c r="C53" s="295">
        <v>255400.12</v>
      </c>
      <c r="D53" s="305">
        <v>250493.89</v>
      </c>
      <c r="E53" s="305"/>
      <c r="F53" s="305">
        <v>301907.20000000001</v>
      </c>
      <c r="G53" s="306">
        <v>244122.89</v>
      </c>
      <c r="H53" s="306">
        <v>293691.95</v>
      </c>
      <c r="I53" s="306">
        <f>294308.25+283250.01</f>
        <v>577558.26</v>
      </c>
      <c r="J53" s="306">
        <v>339793.2</v>
      </c>
      <c r="K53" s="306">
        <v>234229.1</v>
      </c>
      <c r="L53" s="306">
        <v>143702.21</v>
      </c>
      <c r="M53" s="306">
        <v>0</v>
      </c>
      <c r="N53" s="306">
        <v>461026.62</v>
      </c>
      <c r="O53" s="306"/>
      <c r="P53" s="306">
        <v>274853.18</v>
      </c>
      <c r="Q53" s="306">
        <v>4532.63</v>
      </c>
      <c r="R53" s="306"/>
      <c r="S53" s="306">
        <v>281997.18</v>
      </c>
      <c r="T53" s="307">
        <v>274853.18</v>
      </c>
      <c r="U53" s="307">
        <v>252919.58</v>
      </c>
      <c r="V53" s="307">
        <v>275626.18</v>
      </c>
      <c r="W53" s="307">
        <v>235948.87</v>
      </c>
      <c r="X53" s="307">
        <v>246548.58</v>
      </c>
      <c r="Y53" s="307">
        <v>301496.21999999997</v>
      </c>
      <c r="Z53" s="307">
        <f>229577.87+294880.22</f>
        <v>524458.09</v>
      </c>
      <c r="AA53" s="307">
        <v>312806.21999999997</v>
      </c>
      <c r="AB53" s="307"/>
      <c r="AC53" s="306">
        <f t="shared" si="0"/>
        <v>1184249.5099999998</v>
      </c>
      <c r="AD53" s="682"/>
      <c r="AE53" s="327"/>
    </row>
    <row r="54" spans="1:31" x14ac:dyDescent="0.5">
      <c r="A54" s="293" t="s">
        <v>50</v>
      </c>
      <c r="B54" s="295">
        <f>Sheet3!AB33</f>
        <v>218644.91</v>
      </c>
      <c r="C54" s="295">
        <v>158058.74</v>
      </c>
      <c r="D54" s="305">
        <v>165246.74</v>
      </c>
      <c r="E54" s="305">
        <f>21884.08+94828.77</f>
        <v>116712.85</v>
      </c>
      <c r="F54" s="305">
        <v>175461.42</v>
      </c>
      <c r="G54" s="306">
        <f>119010.52+2301.7</f>
        <v>121312.22</v>
      </c>
      <c r="H54" s="306">
        <v>184170.06</v>
      </c>
      <c r="I54" s="306">
        <v>32283.75</v>
      </c>
      <c r="J54" s="306">
        <v>228891.22</v>
      </c>
      <c r="K54" s="306">
        <f>2065.1+54149.2</f>
        <v>56214.299999999996</v>
      </c>
      <c r="L54" s="306">
        <v>82424.639999999999</v>
      </c>
      <c r="M54" s="306">
        <f>51944.98+87469.23+597.4+102131.62</f>
        <v>242143.22999999998</v>
      </c>
      <c r="N54" s="306">
        <v>293593.90999999997</v>
      </c>
      <c r="O54" s="306">
        <v>195389.6</v>
      </c>
      <c r="P54" s="306">
        <v>243825.48</v>
      </c>
      <c r="Q54" s="306"/>
      <c r="R54" s="306">
        <v>306163.15000000002</v>
      </c>
      <c r="S54" s="306">
        <v>267507.61</v>
      </c>
      <c r="T54" s="307">
        <f>134108.58+82507.36+51650.7</f>
        <v>268266.64</v>
      </c>
      <c r="U54" s="307">
        <v>223528.31</v>
      </c>
      <c r="V54" s="307"/>
      <c r="W54" s="307">
        <v>229396.66</v>
      </c>
      <c r="X54" s="307">
        <f>112545.79+241880.11</f>
        <v>354425.89999999997</v>
      </c>
      <c r="Y54" s="307">
        <v>264394.93</v>
      </c>
      <c r="Z54" s="307"/>
      <c r="AA54" s="307">
        <v>253249.61</v>
      </c>
      <c r="AB54" s="307"/>
      <c r="AC54" s="306">
        <f t="shared" si="0"/>
        <v>979365.11999999988</v>
      </c>
      <c r="AD54" s="682"/>
      <c r="AE54" s="328"/>
    </row>
    <row r="55" spans="1:31" x14ac:dyDescent="0.5">
      <c r="A55" s="293" t="s">
        <v>81</v>
      </c>
      <c r="B55" s="295">
        <f>Sheet3!AB65</f>
        <v>187601.40699999998</v>
      </c>
      <c r="C55" s="295"/>
      <c r="D55" s="305">
        <v>44204.62</v>
      </c>
      <c r="E55" s="305"/>
      <c r="F55" s="305">
        <v>43476.5</v>
      </c>
      <c r="G55" s="306"/>
      <c r="H55" s="306">
        <v>42252.72</v>
      </c>
      <c r="I55" s="306"/>
      <c r="J55" s="306">
        <v>43560.47</v>
      </c>
      <c r="K55" s="306"/>
      <c r="L55" s="306">
        <v>7355.75</v>
      </c>
      <c r="M55" s="306">
        <v>0</v>
      </c>
      <c r="N55" s="306">
        <v>83373.429999999993</v>
      </c>
      <c r="O55" s="306"/>
      <c r="P55" s="306">
        <v>44470.27</v>
      </c>
      <c r="Q55" s="306"/>
      <c r="R55" s="306"/>
      <c r="S55" s="306">
        <v>45152.97</v>
      </c>
      <c r="T55" s="307">
        <v>355618.51</v>
      </c>
      <c r="U55" s="307">
        <v>42845.32</v>
      </c>
      <c r="V55" s="307"/>
      <c r="W55" s="307">
        <v>42853.24</v>
      </c>
      <c r="X55" s="307">
        <v>42853.24</v>
      </c>
      <c r="Y55" s="307">
        <v>44893.33</v>
      </c>
      <c r="Z55" s="307">
        <f>87998.29+44893.33</f>
        <v>132891.62</v>
      </c>
      <c r="AA55" s="307">
        <v>44623.05</v>
      </c>
      <c r="AB55" s="307"/>
      <c r="AC55" s="306">
        <f t="shared" si="0"/>
        <v>185299.70699999999</v>
      </c>
      <c r="AD55" s="682"/>
      <c r="AE55" s="133"/>
    </row>
    <row r="56" spans="1:31" x14ac:dyDescent="0.5">
      <c r="A56" s="293" t="s">
        <v>91</v>
      </c>
      <c r="B56" s="295">
        <f>Sheet3!AB75</f>
        <v>306372.58000000054</v>
      </c>
      <c r="C56" s="295"/>
      <c r="D56" s="305">
        <v>89647.98</v>
      </c>
      <c r="E56" s="305"/>
      <c r="F56" s="305">
        <v>554469.09</v>
      </c>
      <c r="G56" s="306"/>
      <c r="H56" s="306">
        <v>523539.75</v>
      </c>
      <c r="I56" s="306">
        <f>554469.09+89647.98+523539.75</f>
        <v>1167656.8199999998</v>
      </c>
      <c r="J56" s="306">
        <v>519776.16</v>
      </c>
      <c r="K56" s="306"/>
      <c r="L56" s="306">
        <v>127313.85</v>
      </c>
      <c r="M56" s="306">
        <v>0</v>
      </c>
      <c r="N56" s="306">
        <v>975146.31</v>
      </c>
      <c r="O56" s="306">
        <v>1477734.31</v>
      </c>
      <c r="P56" s="306">
        <v>551284.81999999995</v>
      </c>
      <c r="Q56" s="306">
        <v>385722</v>
      </c>
      <c r="R56" s="306">
        <v>551284.81999999995</v>
      </c>
      <c r="S56" s="306">
        <v>532785.86</v>
      </c>
      <c r="T56" s="307">
        <v>0</v>
      </c>
      <c r="U56" s="307">
        <v>518649.46</v>
      </c>
      <c r="V56" s="307"/>
      <c r="W56" s="307">
        <v>474039.29</v>
      </c>
      <c r="X56" s="307">
        <v>474039.29</v>
      </c>
      <c r="Y56" s="307">
        <v>553256.12</v>
      </c>
      <c r="Z56" s="307">
        <f>518649.46+532785.86+553256.12</f>
        <v>1604691.44</v>
      </c>
      <c r="AA56" s="307">
        <v>497426.21</v>
      </c>
      <c r="AB56" s="307"/>
      <c r="AC56" s="306">
        <f t="shared" si="0"/>
        <v>1334022.8000000003</v>
      </c>
      <c r="AD56" s="682"/>
      <c r="AE56" s="682"/>
    </row>
    <row r="57" spans="1:31" x14ac:dyDescent="0.5">
      <c r="A57" s="293" t="s">
        <v>46</v>
      </c>
      <c r="B57" s="295">
        <f>Sheet3!AB29</f>
        <v>274329.00999999995</v>
      </c>
      <c r="C57" s="295">
        <v>209478.41</v>
      </c>
      <c r="D57" s="305">
        <v>174713.78</v>
      </c>
      <c r="E57" s="305">
        <v>174713.78</v>
      </c>
      <c r="F57" s="305">
        <v>248314.13</v>
      </c>
      <c r="G57" s="306">
        <v>248314.13</v>
      </c>
      <c r="H57" s="306">
        <v>228348.18</v>
      </c>
      <c r="I57" s="306">
        <v>228348.18</v>
      </c>
      <c r="J57" s="306">
        <v>140847.74</v>
      </c>
      <c r="K57" s="306">
        <v>140847.74</v>
      </c>
      <c r="L57" s="306">
        <v>214035.33</v>
      </c>
      <c r="M57" s="306">
        <v>214035.33</v>
      </c>
      <c r="N57" s="306">
        <v>178553.73</v>
      </c>
      <c r="O57" s="306">
        <v>178553.73</v>
      </c>
      <c r="P57" s="306">
        <v>249812.68</v>
      </c>
      <c r="Q57" s="306">
        <v>61910.43</v>
      </c>
      <c r="R57" s="306"/>
      <c r="S57" s="306">
        <v>166384.65</v>
      </c>
      <c r="T57" s="307">
        <v>272309.68</v>
      </c>
      <c r="U57" s="307">
        <v>193025.29</v>
      </c>
      <c r="V57" s="307">
        <f>177106.65+193025.29</f>
        <v>370131.94</v>
      </c>
      <c r="W57" s="307">
        <v>277818.73</v>
      </c>
      <c r="X57" s="307">
        <v>279707.02</v>
      </c>
      <c r="Y57" s="307">
        <v>185269.74</v>
      </c>
      <c r="Z57" s="307">
        <v>185269.74</v>
      </c>
      <c r="AA57" s="307">
        <v>188010.26</v>
      </c>
      <c r="AB57" s="307">
        <v>0</v>
      </c>
      <c r="AC57" s="306">
        <f t="shared" si="0"/>
        <v>279663.99999999983</v>
      </c>
      <c r="AD57" s="682"/>
      <c r="AE57" s="682"/>
    </row>
    <row r="58" spans="1:31" x14ac:dyDescent="0.5">
      <c r="A58" s="293" t="s">
        <v>51</v>
      </c>
      <c r="B58" s="295">
        <f>Sheet3!AB34</f>
        <v>523776</v>
      </c>
      <c r="C58" s="295">
        <v>237336</v>
      </c>
      <c r="D58" s="305">
        <v>237336</v>
      </c>
      <c r="E58" s="305">
        <f>237336+237336</f>
        <v>474672</v>
      </c>
      <c r="F58" s="305">
        <v>237336</v>
      </c>
      <c r="G58" s="306">
        <v>237336</v>
      </c>
      <c r="H58" s="306">
        <v>237336</v>
      </c>
      <c r="I58" s="306"/>
      <c r="J58" s="306">
        <v>237336</v>
      </c>
      <c r="K58" s="306">
        <v>237336</v>
      </c>
      <c r="L58" s="306">
        <v>0</v>
      </c>
      <c r="M58" s="306">
        <v>237336</v>
      </c>
      <c r="N58" s="306">
        <v>474672</v>
      </c>
      <c r="O58" s="306">
        <v>237336</v>
      </c>
      <c r="P58" s="306">
        <v>237336</v>
      </c>
      <c r="Q58" s="306"/>
      <c r="R58" s="306">
        <v>237336</v>
      </c>
      <c r="S58" s="306">
        <v>0</v>
      </c>
      <c r="T58" s="307">
        <v>237336</v>
      </c>
      <c r="U58" s="307">
        <v>0</v>
      </c>
      <c r="V58" s="307">
        <v>237336</v>
      </c>
      <c r="W58" s="307">
        <v>0</v>
      </c>
      <c r="X58" s="307"/>
      <c r="Y58" s="307">
        <v>949344</v>
      </c>
      <c r="Z58" s="307">
        <f>237336+237336</f>
        <v>474672</v>
      </c>
      <c r="AA58" s="307">
        <v>237336</v>
      </c>
      <c r="AB58" s="307"/>
      <c r="AC58" s="306">
        <f t="shared" si="0"/>
        <v>523776</v>
      </c>
      <c r="AD58" s="682"/>
      <c r="AE58" s="682"/>
    </row>
    <row r="59" spans="1:31" x14ac:dyDescent="0.5">
      <c r="A59" s="293" t="s">
        <v>77</v>
      </c>
      <c r="B59" s="295">
        <f>Sheet3!AB60</f>
        <v>265815.23</v>
      </c>
      <c r="C59" s="295"/>
      <c r="D59" s="305">
        <v>0</v>
      </c>
      <c r="E59" s="305"/>
      <c r="F59" s="305">
        <v>0</v>
      </c>
      <c r="G59" s="306"/>
      <c r="H59" s="306">
        <v>0</v>
      </c>
      <c r="I59" s="306"/>
      <c r="J59" s="306">
        <v>0</v>
      </c>
      <c r="K59" s="306"/>
      <c r="L59" s="306">
        <v>19064.72</v>
      </c>
      <c r="M59" s="306">
        <v>0</v>
      </c>
      <c r="N59" s="306">
        <v>54239.34</v>
      </c>
      <c r="O59" s="306"/>
      <c r="P59" s="306">
        <v>48376.92</v>
      </c>
      <c r="Q59" s="306"/>
      <c r="R59" s="306"/>
      <c r="S59" s="306">
        <v>20297.2</v>
      </c>
      <c r="T59" s="307">
        <v>0</v>
      </c>
      <c r="U59" s="307">
        <v>0</v>
      </c>
      <c r="V59" s="307"/>
      <c r="W59" s="307">
        <v>0</v>
      </c>
      <c r="X59" s="307"/>
      <c r="Y59" s="307">
        <v>0</v>
      </c>
      <c r="Z59" s="307"/>
      <c r="AA59" s="307">
        <v>0</v>
      </c>
      <c r="AB59" s="307"/>
      <c r="AC59" s="306">
        <f t="shared" si="0"/>
        <v>407793.40999999992</v>
      </c>
      <c r="AD59" s="682"/>
      <c r="AE59" s="682"/>
    </row>
    <row r="60" spans="1:31" x14ac:dyDescent="0.5">
      <c r="A60" s="293" t="s">
        <v>59</v>
      </c>
      <c r="B60" s="295">
        <f>Sheet3!AB42-30</f>
        <v>336939.70999999996</v>
      </c>
      <c r="C60" s="295">
        <v>327689.90000000002</v>
      </c>
      <c r="D60" s="305">
        <v>241809.24</v>
      </c>
      <c r="E60" s="305">
        <v>241809.24</v>
      </c>
      <c r="F60" s="305">
        <v>201938.55</v>
      </c>
      <c r="G60" s="306">
        <v>201938.55</v>
      </c>
      <c r="H60" s="306">
        <v>244379.9</v>
      </c>
      <c r="I60" s="306">
        <v>244379.9</v>
      </c>
      <c r="J60" s="306">
        <v>234927.99</v>
      </c>
      <c r="K60" s="306"/>
      <c r="L60" s="306">
        <v>83536.83</v>
      </c>
      <c r="M60" s="306">
        <v>0</v>
      </c>
      <c r="N60" s="306">
        <v>342733.8</v>
      </c>
      <c r="O60" s="306">
        <v>311418.15000000002</v>
      </c>
      <c r="P60" s="306">
        <v>197434.55</v>
      </c>
      <c r="Q60" s="306">
        <v>6203</v>
      </c>
      <c r="R60" s="306">
        <v>342733.8</v>
      </c>
      <c r="S60" s="306">
        <v>207110.45</v>
      </c>
      <c r="T60" s="307">
        <v>0</v>
      </c>
      <c r="U60" s="307">
        <v>197330.45</v>
      </c>
      <c r="V60" s="307">
        <f>203637.55+197330.45</f>
        <v>400968</v>
      </c>
      <c r="W60" s="307">
        <v>242469.32</v>
      </c>
      <c r="X60" s="307"/>
      <c r="Y60" s="307">
        <v>200653.1</v>
      </c>
      <c r="Z60" s="307">
        <v>181359.97</v>
      </c>
      <c r="AA60" s="307">
        <v>211189.04</v>
      </c>
      <c r="AB60" s="307"/>
      <c r="AC60" s="306">
        <f t="shared" si="0"/>
        <v>696358.42</v>
      </c>
      <c r="AD60" s="682"/>
      <c r="AE60" s="682"/>
    </row>
    <row r="61" spans="1:31" x14ac:dyDescent="0.5">
      <c r="A61" s="293" t="s">
        <v>33</v>
      </c>
      <c r="B61" s="295">
        <f>Sheet3!AB17</f>
        <v>216216.19</v>
      </c>
      <c r="C61" s="295"/>
      <c r="D61" s="305">
        <v>0</v>
      </c>
      <c r="E61" s="305"/>
      <c r="F61" s="305">
        <v>0</v>
      </c>
      <c r="G61" s="306"/>
      <c r="H61" s="306">
        <v>0</v>
      </c>
      <c r="I61" s="306"/>
      <c r="J61" s="306">
        <v>0</v>
      </c>
      <c r="K61" s="306"/>
      <c r="L61" s="306">
        <v>0</v>
      </c>
      <c r="M61" s="306">
        <v>0</v>
      </c>
      <c r="N61" s="306">
        <v>0</v>
      </c>
      <c r="O61" s="306"/>
      <c r="P61" s="306">
        <v>0</v>
      </c>
      <c r="Q61" s="306"/>
      <c r="R61" s="306"/>
      <c r="S61" s="306">
        <v>0</v>
      </c>
      <c r="T61" s="307">
        <v>0</v>
      </c>
      <c r="U61" s="307">
        <v>0</v>
      </c>
      <c r="V61" s="307"/>
      <c r="W61" s="307">
        <v>0</v>
      </c>
      <c r="X61" s="307"/>
      <c r="Y61" s="307">
        <v>44158.29</v>
      </c>
      <c r="Z61" s="307"/>
      <c r="AA61" s="307">
        <v>54109.14</v>
      </c>
      <c r="AB61" s="307"/>
      <c r="AC61" s="306">
        <f t="shared" si="0"/>
        <v>314483.62</v>
      </c>
      <c r="AD61" s="682"/>
      <c r="AE61" s="682"/>
    </row>
    <row r="62" spans="1:31" x14ac:dyDescent="0.5">
      <c r="A62" s="293" t="s">
        <v>310</v>
      </c>
      <c r="B62" s="295">
        <f>Sheet3!AB47</f>
        <v>434406.38000000024</v>
      </c>
      <c r="C62" s="295"/>
      <c r="D62" s="305">
        <v>288224.49</v>
      </c>
      <c r="E62" s="305"/>
      <c r="F62" s="305">
        <v>127309.16</v>
      </c>
      <c r="G62" s="306">
        <v>277727.03999999998</v>
      </c>
      <c r="H62" s="306">
        <v>168039.14</v>
      </c>
      <c r="I62" s="306">
        <f>122054.41+288224.49+127309.16</f>
        <v>537588.06000000006</v>
      </c>
      <c r="J62" s="306">
        <v>112551.33</v>
      </c>
      <c r="K62" s="306">
        <v>168039.14</v>
      </c>
      <c r="L62" s="306">
        <v>130390</v>
      </c>
      <c r="M62" s="306">
        <v>0</v>
      </c>
      <c r="N62" s="306">
        <v>190374.92</v>
      </c>
      <c r="O62" s="306">
        <v>242941.33</v>
      </c>
      <c r="P62" s="306">
        <v>127652.31</v>
      </c>
      <c r="Q62" s="306"/>
      <c r="R62" s="306">
        <v>190374.92</v>
      </c>
      <c r="S62" s="306">
        <v>0</v>
      </c>
      <c r="T62" s="307">
        <v>127652.31</v>
      </c>
      <c r="U62" s="307">
        <v>0</v>
      </c>
      <c r="V62" s="307"/>
      <c r="W62" s="307">
        <v>0</v>
      </c>
      <c r="X62" s="307"/>
      <c r="Y62" s="307">
        <v>656596.09</v>
      </c>
      <c r="Z62" s="307">
        <v>656596.09</v>
      </c>
      <c r="AA62" s="307">
        <v>168368.36</v>
      </c>
      <c r="AB62" s="307"/>
      <c r="AC62" s="306">
        <f t="shared" si="0"/>
        <v>202993.29000000015</v>
      </c>
      <c r="AD62" s="682"/>
      <c r="AE62" s="682"/>
    </row>
    <row r="63" spans="1:31" x14ac:dyDescent="0.5">
      <c r="A63" s="293" t="s">
        <v>79</v>
      </c>
      <c r="B63" s="295">
        <f>Sheet3!AB62</f>
        <v>182653.97999999998</v>
      </c>
      <c r="C63" s="295"/>
      <c r="D63" s="305">
        <v>0</v>
      </c>
      <c r="E63" s="305"/>
      <c r="F63" s="305">
        <v>0</v>
      </c>
      <c r="G63" s="306"/>
      <c r="H63" s="306">
        <v>0</v>
      </c>
      <c r="I63" s="306"/>
      <c r="J63" s="306">
        <v>0</v>
      </c>
      <c r="K63" s="306"/>
      <c r="L63" s="306">
        <v>0</v>
      </c>
      <c r="M63" s="306">
        <v>0</v>
      </c>
      <c r="N63" s="306">
        <v>0</v>
      </c>
      <c r="O63" s="306"/>
      <c r="P63" s="306">
        <v>0</v>
      </c>
      <c r="Q63" s="306"/>
      <c r="R63" s="306"/>
      <c r="S63" s="306">
        <v>0</v>
      </c>
      <c r="T63" s="307">
        <v>0</v>
      </c>
      <c r="U63" s="307">
        <v>0</v>
      </c>
      <c r="V63" s="307"/>
      <c r="W63" s="307">
        <v>0</v>
      </c>
      <c r="X63" s="307"/>
      <c r="Y63" s="307">
        <v>0</v>
      </c>
      <c r="Z63" s="307"/>
      <c r="AA63" s="307">
        <v>0</v>
      </c>
      <c r="AB63" s="307"/>
      <c r="AC63" s="306">
        <f t="shared" si="0"/>
        <v>182653.97999999998</v>
      </c>
      <c r="AD63" s="682"/>
      <c r="AE63" s="682"/>
    </row>
    <row r="64" spans="1:31" x14ac:dyDescent="0.5">
      <c r="A64" s="293" t="s">
        <v>87</v>
      </c>
      <c r="B64" s="295">
        <f>Sheet3!AB71</f>
        <v>182557.61000000002</v>
      </c>
      <c r="C64" s="295"/>
      <c r="D64" s="305">
        <v>0</v>
      </c>
      <c r="E64" s="305"/>
      <c r="F64" s="305">
        <v>0</v>
      </c>
      <c r="G64" s="306"/>
      <c r="H64" s="306">
        <v>0</v>
      </c>
      <c r="I64" s="306"/>
      <c r="J64" s="306">
        <v>0</v>
      </c>
      <c r="K64" s="306"/>
      <c r="L64" s="306">
        <v>0</v>
      </c>
      <c r="M64" s="306">
        <v>0</v>
      </c>
      <c r="N64" s="306">
        <v>2434.4499999999998</v>
      </c>
      <c r="O64" s="306"/>
      <c r="P64" s="306">
        <v>10502.89</v>
      </c>
      <c r="Q64" s="306"/>
      <c r="R64" s="306"/>
      <c r="S64" s="306">
        <v>0</v>
      </c>
      <c r="T64" s="307">
        <v>0</v>
      </c>
      <c r="U64" s="307">
        <v>0</v>
      </c>
      <c r="V64" s="307"/>
      <c r="W64" s="307">
        <v>0</v>
      </c>
      <c r="X64" s="307"/>
      <c r="Y64" s="307">
        <v>0</v>
      </c>
      <c r="Z64" s="307"/>
      <c r="AA64" s="307">
        <v>0</v>
      </c>
      <c r="AB64" s="307"/>
      <c r="AC64" s="306">
        <f t="shared" si="0"/>
        <v>195494.95</v>
      </c>
      <c r="AD64" s="682"/>
      <c r="AE64" s="682"/>
    </row>
    <row r="65" spans="1:29" x14ac:dyDescent="0.5">
      <c r="A65" s="293" t="s">
        <v>74</v>
      </c>
      <c r="B65" s="295">
        <f>Sheet3!AB57</f>
        <v>64381.080000000016</v>
      </c>
      <c r="C65" s="295"/>
      <c r="D65" s="305">
        <v>116285.94</v>
      </c>
      <c r="E65" s="305">
        <v>72763.67</v>
      </c>
      <c r="F65" s="305">
        <v>98238.06</v>
      </c>
      <c r="G65" s="306"/>
      <c r="H65" s="306">
        <v>87537.32</v>
      </c>
      <c r="I65" s="306">
        <f>75958.04+72713.64</f>
        <v>148671.67999999999</v>
      </c>
      <c r="J65" s="306">
        <v>88135.13</v>
      </c>
      <c r="K65" s="306">
        <v>65096.05</v>
      </c>
      <c r="L65" s="306">
        <v>108321.11</v>
      </c>
      <c r="M65" s="306">
        <f>68291.46+84394.23</f>
        <v>152685.69</v>
      </c>
      <c r="N65" s="306">
        <v>128878.11</v>
      </c>
      <c r="O65" s="306"/>
      <c r="P65" s="306">
        <v>133035.29999999999</v>
      </c>
      <c r="Q65" s="306">
        <v>7968.85</v>
      </c>
      <c r="R65" s="306">
        <v>104932.33</v>
      </c>
      <c r="S65" s="306">
        <v>133032.07999999999</v>
      </c>
      <c r="T65" s="307">
        <v>111010.17</v>
      </c>
      <c r="U65" s="307">
        <v>370810.41</v>
      </c>
      <c r="V65" s="307">
        <v>109236.12</v>
      </c>
      <c r="W65" s="307">
        <v>160082.09</v>
      </c>
      <c r="X65" s="307">
        <f>86449.98+81991.95</f>
        <v>168441.93</v>
      </c>
      <c r="Y65" s="307">
        <v>127050.8</v>
      </c>
      <c r="Z65" s="307">
        <v>102010.8</v>
      </c>
      <c r="AA65" s="307">
        <v>151264.35</v>
      </c>
      <c r="AB65" s="307">
        <v>0</v>
      </c>
      <c r="AC65" s="306">
        <f t="shared" si="0"/>
        <v>740172.18999999983</v>
      </c>
    </row>
    <row r="66" spans="1:29" x14ac:dyDescent="0.5">
      <c r="A66" s="293" t="s">
        <v>66</v>
      </c>
      <c r="B66" s="295">
        <f>Sheet3!AB49</f>
        <v>123654.98000000001</v>
      </c>
      <c r="C66" s="295">
        <f>147933.02</f>
        <v>147933.01999999999</v>
      </c>
      <c r="D66" s="305">
        <v>119314.66</v>
      </c>
      <c r="E66" s="305"/>
      <c r="F66" s="305">
        <v>138337.63</v>
      </c>
      <c r="G66" s="306">
        <v>89113.33</v>
      </c>
      <c r="H66" s="306">
        <v>138699.87</v>
      </c>
      <c r="I66" s="306">
        <v>138337.63</v>
      </c>
      <c r="J66" s="306">
        <v>111975.4</v>
      </c>
      <c r="K66" s="306"/>
      <c r="L66" s="306">
        <v>118841.22</v>
      </c>
      <c r="M66" s="306">
        <v>138337.63</v>
      </c>
      <c r="N66" s="306">
        <v>182051.05</v>
      </c>
      <c r="O66" s="306">
        <v>230816.62</v>
      </c>
      <c r="P66" s="306">
        <v>139441.71</v>
      </c>
      <c r="Q66" s="306"/>
      <c r="R66" s="306">
        <v>182051.05</v>
      </c>
      <c r="S66" s="306">
        <v>228812.59</v>
      </c>
      <c r="T66" s="307">
        <v>139441.71</v>
      </c>
      <c r="U66" s="307">
        <v>130432.12</v>
      </c>
      <c r="V66" s="307"/>
      <c r="W66" s="307">
        <v>136595.94</v>
      </c>
      <c r="X66" s="307">
        <f>228812.59+130432.12</f>
        <v>359244.70999999996</v>
      </c>
      <c r="Y66" s="307">
        <v>140919.4</v>
      </c>
      <c r="Z66" s="307">
        <f>136595.94+141281.64</f>
        <v>277877.58</v>
      </c>
      <c r="AA66" s="307">
        <v>150977.29999999999</v>
      </c>
      <c r="AB66" s="307">
        <v>0</v>
      </c>
      <c r="AC66" s="306">
        <f t="shared" si="0"/>
        <v>156900.59000000008</v>
      </c>
    </row>
    <row r="67" spans="1:29" x14ac:dyDescent="0.5">
      <c r="A67" s="293" t="s">
        <v>93</v>
      </c>
      <c r="B67" s="295">
        <f>Sheet3!AB87</f>
        <v>143834.67000000001</v>
      </c>
      <c r="C67" s="295"/>
      <c r="D67" s="305">
        <v>0</v>
      </c>
      <c r="E67" s="305"/>
      <c r="F67" s="305">
        <v>0</v>
      </c>
      <c r="G67" s="306"/>
      <c r="H67" s="306">
        <v>0</v>
      </c>
      <c r="I67" s="306"/>
      <c r="J67" s="306">
        <v>0</v>
      </c>
      <c r="K67" s="306"/>
      <c r="L67" s="306">
        <v>0</v>
      </c>
      <c r="M67" s="306">
        <v>0</v>
      </c>
      <c r="N67" s="306">
        <v>0</v>
      </c>
      <c r="O67" s="306"/>
      <c r="P67" s="306">
        <v>0</v>
      </c>
      <c r="Q67" s="306"/>
      <c r="R67" s="306"/>
      <c r="S67" s="306">
        <v>0</v>
      </c>
      <c r="T67" s="307">
        <v>0</v>
      </c>
      <c r="U67" s="307">
        <v>0</v>
      </c>
      <c r="V67" s="307"/>
      <c r="W67" s="307">
        <v>0</v>
      </c>
      <c r="X67" s="307"/>
      <c r="Y67" s="307">
        <v>0</v>
      </c>
      <c r="Z67" s="307"/>
      <c r="AA67" s="307">
        <v>0</v>
      </c>
      <c r="AB67" s="307"/>
      <c r="AC67" s="306">
        <f t="shared" si="0"/>
        <v>143834.67000000001</v>
      </c>
    </row>
    <row r="68" spans="1:29" x14ac:dyDescent="0.5">
      <c r="A68" s="293" t="s">
        <v>82</v>
      </c>
      <c r="B68" s="295">
        <f>Sheet3!AB66</f>
        <v>79359.89</v>
      </c>
      <c r="C68" s="295">
        <v>21743.3</v>
      </c>
      <c r="D68" s="305">
        <v>4541.2700000000004</v>
      </c>
      <c r="E68" s="305"/>
      <c r="F68" s="305">
        <v>33180.910000000003</v>
      </c>
      <c r="G68" s="306"/>
      <c r="H68" s="306">
        <v>21616.98</v>
      </c>
      <c r="I68" s="306"/>
      <c r="J68" s="306">
        <v>-741.81</v>
      </c>
      <c r="K68" s="306"/>
      <c r="L68" s="306">
        <v>0</v>
      </c>
      <c r="M68" s="306">
        <v>0</v>
      </c>
      <c r="N68" s="306">
        <v>23436.85</v>
      </c>
      <c r="O68" s="306">
        <v>89396.479999999996</v>
      </c>
      <c r="P68" s="306">
        <v>0</v>
      </c>
      <c r="Q68" s="306"/>
      <c r="R68" s="306"/>
      <c r="S68" s="306">
        <v>0</v>
      </c>
      <c r="T68" s="307">
        <v>0</v>
      </c>
      <c r="U68" s="307">
        <v>0</v>
      </c>
      <c r="V68" s="307"/>
      <c r="W68" s="307">
        <v>0</v>
      </c>
      <c r="X68" s="307"/>
      <c r="Y68" s="307">
        <v>14421.2</v>
      </c>
      <c r="Z68" s="307"/>
      <c r="AA68" s="307">
        <v>25166.81</v>
      </c>
      <c r="AB68" s="307"/>
      <c r="AC68" s="306">
        <f t="shared" si="0"/>
        <v>89842.32</v>
      </c>
    </row>
    <row r="69" spans="1:29" x14ac:dyDescent="0.5">
      <c r="A69" s="293" t="s">
        <v>76</v>
      </c>
      <c r="B69" s="295">
        <f>Sheet3!AB59</f>
        <v>292585.9800000001</v>
      </c>
      <c r="C69" s="295">
        <v>97528.65</v>
      </c>
      <c r="D69" s="305">
        <v>0</v>
      </c>
      <c r="E69" s="305">
        <v>97528.68</v>
      </c>
      <c r="F69" s="305">
        <v>0</v>
      </c>
      <c r="G69" s="306"/>
      <c r="H69" s="306">
        <v>0</v>
      </c>
      <c r="I69" s="306">
        <v>97528.65</v>
      </c>
      <c r="J69" s="306">
        <v>0</v>
      </c>
      <c r="K69" s="306"/>
      <c r="L69" s="306">
        <v>0</v>
      </c>
      <c r="M69" s="306">
        <v>0</v>
      </c>
      <c r="N69" s="306">
        <v>0</v>
      </c>
      <c r="O69" s="306"/>
      <c r="P69" s="306">
        <v>0</v>
      </c>
      <c r="Q69" s="306"/>
      <c r="R69" s="306"/>
      <c r="S69" s="306">
        <v>0</v>
      </c>
      <c r="T69" s="307">
        <v>0</v>
      </c>
      <c r="U69" s="307">
        <v>0</v>
      </c>
      <c r="V69" s="307"/>
      <c r="W69" s="307">
        <v>0</v>
      </c>
      <c r="X69" s="307"/>
      <c r="Y69" s="307">
        <v>0</v>
      </c>
      <c r="Z69" s="307"/>
      <c r="AA69" s="307">
        <v>0</v>
      </c>
      <c r="AB69" s="307"/>
      <c r="AC69" s="306">
        <f t="shared" si="0"/>
        <v>1.1641532182693481E-10</v>
      </c>
    </row>
    <row r="70" spans="1:29" x14ac:dyDescent="0.5">
      <c r="A70" s="293" t="s">
        <v>70</v>
      </c>
      <c r="B70" s="295">
        <f>Sheet3!AB53</f>
        <v>-66001.280000000203</v>
      </c>
      <c r="C70" s="295"/>
      <c r="D70" s="305">
        <v>95721.31</v>
      </c>
      <c r="E70" s="305"/>
      <c r="F70" s="305">
        <v>163618.26999999999</v>
      </c>
      <c r="G70" s="306">
        <v>329095.7</v>
      </c>
      <c r="H70" s="306">
        <v>382392.19</v>
      </c>
      <c r="I70" s="306">
        <v>163618.26999999999</v>
      </c>
      <c r="J70" s="306">
        <v>280137.08</v>
      </c>
      <c r="K70" s="306">
        <f>382392.19+280137.08</f>
        <v>662529.27</v>
      </c>
      <c r="L70" s="306">
        <v>388376.29</v>
      </c>
      <c r="M70" s="306">
        <v>0</v>
      </c>
      <c r="N70" s="306">
        <v>302863.37</v>
      </c>
      <c r="O70" s="306"/>
      <c r="P70" s="306">
        <v>217845.86</v>
      </c>
      <c r="Q70" s="306"/>
      <c r="R70" s="306">
        <v>909085.52</v>
      </c>
      <c r="S70" s="306">
        <v>201551.81</v>
      </c>
      <c r="T70" s="307">
        <v>0</v>
      </c>
      <c r="U70" s="307">
        <v>416165.05</v>
      </c>
      <c r="V70" s="307">
        <v>617716.86</v>
      </c>
      <c r="W70" s="307">
        <v>172733.02</v>
      </c>
      <c r="X70" s="307"/>
      <c r="Y70" s="307">
        <v>187340.02</v>
      </c>
      <c r="Z70" s="307">
        <f>172733.02+187340.02</f>
        <v>360073.04</v>
      </c>
      <c r="AA70" s="307">
        <v>220824.81</v>
      </c>
      <c r="AB70" s="307"/>
      <c r="AC70" s="306">
        <f t="shared" ref="AC70:AC97" si="1">B70-C70+D70-E70+F70-G70+H70-I70+J70-K70+L70-M70+N70-O70+P70+Q70-R70+S70-T70+U70-V70+W70-X70+Y70-Z70+AA70-AB70</f>
        <v>-78550.860000000277</v>
      </c>
    </row>
    <row r="71" spans="1:29" x14ac:dyDescent="0.5">
      <c r="A71" s="293" t="s">
        <v>45</v>
      </c>
      <c r="B71" s="295">
        <f>Sheet3!AB28</f>
        <v>34004.51999999999</v>
      </c>
      <c r="C71" s="295"/>
      <c r="D71" s="305">
        <v>20158.7</v>
      </c>
      <c r="E71" s="305">
        <v>17495.28</v>
      </c>
      <c r="F71" s="305">
        <v>18962.14</v>
      </c>
      <c r="G71" s="306"/>
      <c r="H71" s="306">
        <v>20295.900000000001</v>
      </c>
      <c r="I71" s="306"/>
      <c r="J71" s="306">
        <v>39876.76</v>
      </c>
      <c r="K71" s="306">
        <v>99293.5</v>
      </c>
      <c r="L71" s="306">
        <v>31771.279999999999</v>
      </c>
      <c r="M71" s="306">
        <v>0</v>
      </c>
      <c r="N71" s="306">
        <v>17976.61</v>
      </c>
      <c r="O71" s="306">
        <v>31771.279999999999</v>
      </c>
      <c r="P71" s="306">
        <v>19119.88</v>
      </c>
      <c r="Q71" s="306"/>
      <c r="R71" s="306">
        <v>17976.61</v>
      </c>
      <c r="S71" s="306">
        <v>0</v>
      </c>
      <c r="T71" s="307">
        <v>19119.88</v>
      </c>
      <c r="U71" s="307">
        <v>0</v>
      </c>
      <c r="V71" s="307"/>
      <c r="W71" s="307">
        <v>0</v>
      </c>
      <c r="X71" s="307"/>
      <c r="Y71" s="307">
        <v>74519.179999999993</v>
      </c>
      <c r="Z71" s="307">
        <v>74519.179999999993</v>
      </c>
      <c r="AA71" s="307">
        <v>15832.98</v>
      </c>
      <c r="AB71" s="307"/>
      <c r="AC71" s="306">
        <f t="shared" si="1"/>
        <v>32342.21999999999</v>
      </c>
    </row>
    <row r="72" spans="1:29" x14ac:dyDescent="0.5">
      <c r="A72" s="293" t="s">
        <v>85</v>
      </c>
      <c r="B72" s="295">
        <v>382178.4</v>
      </c>
      <c r="C72" s="295">
        <f>441708.32</f>
        <v>441708.32</v>
      </c>
      <c r="D72" s="305">
        <v>128278.11</v>
      </c>
      <c r="E72" s="305">
        <v>411178.11</v>
      </c>
      <c r="F72" s="305">
        <v>413882.44</v>
      </c>
      <c r="G72" s="306"/>
      <c r="H72" s="306">
        <v>409836.98</v>
      </c>
      <c r="I72" s="306">
        <f>409836.98+413882.44</f>
        <v>823719.41999999993</v>
      </c>
      <c r="J72" s="306">
        <v>415591.94</v>
      </c>
      <c r="K72" s="306"/>
      <c r="L72" s="306">
        <v>123828.67</v>
      </c>
      <c r="M72" s="306">
        <v>0</v>
      </c>
      <c r="N72" s="306">
        <v>730105.97</v>
      </c>
      <c r="O72" s="306"/>
      <c r="P72" s="306">
        <v>417265.31</v>
      </c>
      <c r="Q72" s="305">
        <v>282900</v>
      </c>
      <c r="R72" s="306">
        <v>415591.94</v>
      </c>
      <c r="S72" s="306">
        <v>418985.44</v>
      </c>
      <c r="T72" s="307">
        <v>0</v>
      </c>
      <c r="U72" s="307">
        <v>388556.12</v>
      </c>
      <c r="V72" s="307"/>
      <c r="W72" s="307">
        <v>378479.58</v>
      </c>
      <c r="X72" s="307">
        <v>388556.12</v>
      </c>
      <c r="Y72" s="307">
        <v>419790.46</v>
      </c>
      <c r="Z72" s="307">
        <f>378479.58+419790.46+418985.44</f>
        <v>1217255.48</v>
      </c>
      <c r="AA72" s="307">
        <v>347553.39</v>
      </c>
      <c r="AB72" s="307"/>
      <c r="AC72" s="306">
        <f t="shared" si="1"/>
        <v>1559223.42</v>
      </c>
    </row>
    <row r="73" spans="1:29" x14ac:dyDescent="0.5">
      <c r="A73" s="293" t="s">
        <v>48</v>
      </c>
      <c r="B73" s="295">
        <v>458603.19</v>
      </c>
      <c r="C73" s="295">
        <v>359010.12</v>
      </c>
      <c r="D73" s="305">
        <v>197332.45</v>
      </c>
      <c r="E73" s="305">
        <v>57773.08</v>
      </c>
      <c r="F73" s="305">
        <v>22351.48</v>
      </c>
      <c r="G73" s="306">
        <f>197332.45+22351.48</f>
        <v>219683.93000000002</v>
      </c>
      <c r="H73" s="306">
        <v>18220.439999999999</v>
      </c>
      <c r="I73" s="306"/>
      <c r="J73" s="306">
        <v>7940.39</v>
      </c>
      <c r="K73" s="306">
        <v>18220.439999999999</v>
      </c>
      <c r="L73" s="306">
        <v>26760.080000000002</v>
      </c>
      <c r="M73" s="306">
        <v>7940.39</v>
      </c>
      <c r="N73" s="306">
        <v>12316.07</v>
      </c>
      <c r="O73" s="306"/>
      <c r="P73" s="306">
        <v>63194.18</v>
      </c>
      <c r="Q73" s="306"/>
      <c r="R73" s="306">
        <v>26790.080000000002</v>
      </c>
      <c r="S73" s="306">
        <v>55869.760000000002</v>
      </c>
      <c r="T73" s="307">
        <v>12316.07</v>
      </c>
      <c r="U73" s="307">
        <v>21478.7</v>
      </c>
      <c r="V73" s="307">
        <v>63194.18</v>
      </c>
      <c r="W73" s="307">
        <v>6950.51</v>
      </c>
      <c r="X73" s="307"/>
      <c r="Y73" s="307">
        <v>5274.34</v>
      </c>
      <c r="Z73" s="307">
        <v>18255.009999999998</v>
      </c>
      <c r="AA73" s="307">
        <v>3691.44</v>
      </c>
      <c r="AB73" s="307"/>
      <c r="AC73" s="306">
        <f t="shared" si="1"/>
        <v>116799.73</v>
      </c>
    </row>
    <row r="74" spans="1:29" x14ac:dyDescent="0.5">
      <c r="A74" s="294" t="s">
        <v>112</v>
      </c>
      <c r="B74" s="295">
        <f>Sheet3!AB82</f>
        <v>54257.82</v>
      </c>
      <c r="C74" s="295"/>
      <c r="D74" s="305">
        <v>0</v>
      </c>
      <c r="E74" s="305"/>
      <c r="F74" s="305">
        <v>0</v>
      </c>
      <c r="G74" s="306"/>
      <c r="H74" s="306">
        <v>0</v>
      </c>
      <c r="I74" s="306"/>
      <c r="J74" s="306">
        <v>0</v>
      </c>
      <c r="K74" s="306"/>
      <c r="L74" s="306">
        <v>0</v>
      </c>
      <c r="M74" s="306">
        <v>0</v>
      </c>
      <c r="N74" s="306">
        <v>0</v>
      </c>
      <c r="O74" s="306"/>
      <c r="P74" s="306">
        <v>0</v>
      </c>
      <c r="Q74" s="306"/>
      <c r="R74" s="306"/>
      <c r="S74" s="306">
        <v>0</v>
      </c>
      <c r="T74" s="307">
        <v>0</v>
      </c>
      <c r="U74" s="307">
        <v>0</v>
      </c>
      <c r="V74" s="307"/>
      <c r="W74" s="307">
        <v>0</v>
      </c>
      <c r="X74" s="307"/>
      <c r="Y74" s="307">
        <v>0</v>
      </c>
      <c r="Z74" s="307"/>
      <c r="AA74" s="307">
        <v>0</v>
      </c>
      <c r="AB74" s="307"/>
      <c r="AC74" s="306">
        <f t="shared" si="1"/>
        <v>54257.82</v>
      </c>
    </row>
    <row r="75" spans="1:29" x14ac:dyDescent="0.5">
      <c r="A75" s="293" t="s">
        <v>190</v>
      </c>
      <c r="B75" s="295">
        <f>Sheet3!AB77</f>
        <v>54315.65</v>
      </c>
      <c r="C75" s="295"/>
      <c r="D75" s="305">
        <v>-3422.63</v>
      </c>
      <c r="E75" s="305"/>
      <c r="F75" s="305">
        <v>0</v>
      </c>
      <c r="G75" s="306"/>
      <c r="H75" s="306">
        <v>0</v>
      </c>
      <c r="I75" s="306"/>
      <c r="J75" s="306">
        <v>0</v>
      </c>
      <c r="K75" s="306"/>
      <c r="L75" s="306">
        <v>0</v>
      </c>
      <c r="M75" s="306">
        <v>0</v>
      </c>
      <c r="N75" s="306">
        <v>0</v>
      </c>
      <c r="O75" s="306"/>
      <c r="P75" s="306">
        <v>0</v>
      </c>
      <c r="Q75" s="306"/>
      <c r="R75" s="306"/>
      <c r="S75" s="306">
        <v>0</v>
      </c>
      <c r="T75" s="307">
        <v>0</v>
      </c>
      <c r="U75" s="307">
        <v>0</v>
      </c>
      <c r="V75" s="307"/>
      <c r="W75" s="307">
        <v>0</v>
      </c>
      <c r="X75" s="307"/>
      <c r="Y75" s="307">
        <v>0</v>
      </c>
      <c r="Z75" s="307"/>
      <c r="AA75" s="307">
        <v>0</v>
      </c>
      <c r="AB75" s="307"/>
      <c r="AC75" s="306">
        <f t="shared" si="1"/>
        <v>50893.020000000004</v>
      </c>
    </row>
    <row r="76" spans="1:29" x14ac:dyDescent="0.5">
      <c r="A76" s="293" t="s">
        <v>195</v>
      </c>
      <c r="B76" s="295">
        <f>Sheet3!AB84</f>
        <v>46506.37</v>
      </c>
      <c r="C76" s="295"/>
      <c r="D76" s="305">
        <v>0</v>
      </c>
      <c r="E76" s="305"/>
      <c r="F76" s="305">
        <v>0</v>
      </c>
      <c r="G76" s="306"/>
      <c r="H76" s="306">
        <v>0</v>
      </c>
      <c r="I76" s="306"/>
      <c r="J76" s="306">
        <v>0</v>
      </c>
      <c r="K76" s="306"/>
      <c r="L76" s="306">
        <v>0</v>
      </c>
      <c r="M76" s="306">
        <v>0</v>
      </c>
      <c r="N76" s="306">
        <v>0</v>
      </c>
      <c r="O76" s="306"/>
      <c r="P76" s="306">
        <v>0</v>
      </c>
      <c r="Q76" s="306"/>
      <c r="R76" s="306"/>
      <c r="S76" s="306">
        <v>0</v>
      </c>
      <c r="T76" s="307">
        <v>0</v>
      </c>
      <c r="U76" s="307">
        <v>0</v>
      </c>
      <c r="V76" s="307"/>
      <c r="W76" s="307">
        <v>0</v>
      </c>
      <c r="X76" s="307"/>
      <c r="Y76" s="307">
        <v>0</v>
      </c>
      <c r="Z76" s="307"/>
      <c r="AA76" s="307">
        <v>0</v>
      </c>
      <c r="AB76" s="307"/>
      <c r="AC76" s="306">
        <f t="shared" si="1"/>
        <v>46506.37</v>
      </c>
    </row>
    <row r="77" spans="1:29" x14ac:dyDescent="0.5">
      <c r="A77" s="293" t="s">
        <v>55</v>
      </c>
      <c r="B77" s="295">
        <f>Sheet3!AB38</f>
        <v>41234.68</v>
      </c>
      <c r="C77" s="295"/>
      <c r="D77" s="305">
        <v>0</v>
      </c>
      <c r="E77" s="305"/>
      <c r="F77" s="305">
        <v>0</v>
      </c>
      <c r="G77" s="306"/>
      <c r="H77" s="306">
        <v>0</v>
      </c>
      <c r="I77" s="306"/>
      <c r="J77" s="306">
        <v>0</v>
      </c>
      <c r="K77" s="306"/>
      <c r="L77" s="306">
        <v>0</v>
      </c>
      <c r="M77" s="306">
        <v>0</v>
      </c>
      <c r="N77" s="306">
        <v>0</v>
      </c>
      <c r="O77" s="306"/>
      <c r="P77" s="306">
        <v>0</v>
      </c>
      <c r="Q77" s="306"/>
      <c r="R77" s="306"/>
      <c r="S77" s="306">
        <v>0</v>
      </c>
      <c r="T77" s="307">
        <v>0</v>
      </c>
      <c r="U77" s="307">
        <v>0</v>
      </c>
      <c r="V77" s="307"/>
      <c r="W77" s="307">
        <v>0</v>
      </c>
      <c r="X77" s="307"/>
      <c r="Y77" s="307">
        <v>0</v>
      </c>
      <c r="Z77" s="307"/>
      <c r="AA77" s="307">
        <v>0</v>
      </c>
      <c r="AB77" s="307"/>
      <c r="AC77" s="306">
        <f t="shared" si="1"/>
        <v>41234.68</v>
      </c>
    </row>
    <row r="78" spans="1:29" x14ac:dyDescent="0.5">
      <c r="A78" s="293" t="s">
        <v>197</v>
      </c>
      <c r="B78" s="295">
        <f>Sheet3!AB86</f>
        <v>30182.73</v>
      </c>
      <c r="C78" s="295"/>
      <c r="D78" s="305">
        <v>0</v>
      </c>
      <c r="E78" s="305"/>
      <c r="F78" s="305">
        <v>0</v>
      </c>
      <c r="G78" s="306"/>
      <c r="H78" s="306">
        <v>0</v>
      </c>
      <c r="I78" s="306"/>
      <c r="J78" s="306">
        <v>0</v>
      </c>
      <c r="K78" s="306"/>
      <c r="L78" s="306">
        <v>0</v>
      </c>
      <c r="M78" s="306">
        <v>0</v>
      </c>
      <c r="N78" s="306">
        <v>0</v>
      </c>
      <c r="O78" s="306"/>
      <c r="P78" s="306">
        <v>0</v>
      </c>
      <c r="Q78" s="306"/>
      <c r="R78" s="306"/>
      <c r="S78" s="306">
        <v>0</v>
      </c>
      <c r="T78" s="307">
        <v>0</v>
      </c>
      <c r="U78" s="307">
        <v>0</v>
      </c>
      <c r="V78" s="307"/>
      <c r="W78" s="307">
        <v>0</v>
      </c>
      <c r="X78" s="307"/>
      <c r="Y78" s="307">
        <v>0</v>
      </c>
      <c r="Z78" s="307"/>
      <c r="AA78" s="307">
        <v>0</v>
      </c>
      <c r="AB78" s="307"/>
      <c r="AC78" s="306">
        <f t="shared" si="1"/>
        <v>30182.73</v>
      </c>
    </row>
    <row r="79" spans="1:29" x14ac:dyDescent="0.5">
      <c r="A79" s="240" t="s">
        <v>104</v>
      </c>
      <c r="B79" s="238">
        <f>Sheet3!AB88</f>
        <v>19279.3</v>
      </c>
      <c r="C79" s="238"/>
      <c r="D79" s="308">
        <v>0</v>
      </c>
      <c r="E79" s="308"/>
      <c r="F79" s="308">
        <v>0</v>
      </c>
      <c r="G79" s="309"/>
      <c r="H79" s="309">
        <v>0</v>
      </c>
      <c r="I79" s="309"/>
      <c r="J79" s="309">
        <v>0</v>
      </c>
      <c r="K79" s="309"/>
      <c r="L79" s="309">
        <v>0</v>
      </c>
      <c r="M79" s="309">
        <v>0</v>
      </c>
      <c r="N79" s="309">
        <v>0</v>
      </c>
      <c r="O79" s="309"/>
      <c r="P79" s="309">
        <v>0</v>
      </c>
      <c r="Q79" s="309"/>
      <c r="R79" s="309"/>
      <c r="S79" s="309">
        <v>0</v>
      </c>
      <c r="T79" s="310">
        <v>0</v>
      </c>
      <c r="U79" s="310">
        <v>0</v>
      </c>
      <c r="V79" s="310"/>
      <c r="W79" s="310">
        <v>0</v>
      </c>
      <c r="X79" s="310"/>
      <c r="Y79" s="310">
        <v>0</v>
      </c>
      <c r="Z79" s="310"/>
      <c r="AA79" s="310">
        <v>0</v>
      </c>
      <c r="AB79" s="310"/>
      <c r="AC79" s="306">
        <f t="shared" si="1"/>
        <v>19279.3</v>
      </c>
    </row>
    <row r="80" spans="1:29" x14ac:dyDescent="0.5">
      <c r="A80" s="237" t="s">
        <v>72</v>
      </c>
      <c r="B80" s="238">
        <f>Sheet3!AB55</f>
        <v>66648.76999999999</v>
      </c>
      <c r="C80" s="238">
        <v>52827.23</v>
      </c>
      <c r="D80" s="308">
        <v>48340.11</v>
      </c>
      <c r="E80" s="308">
        <v>48340.11</v>
      </c>
      <c r="F80" s="308">
        <v>52066.5</v>
      </c>
      <c r="G80" s="309">
        <f>52066.5+35714.47</f>
        <v>87780.97</v>
      </c>
      <c r="H80" s="309">
        <v>40033.22</v>
      </c>
      <c r="I80" s="309"/>
      <c r="J80" s="309">
        <v>46605.93</v>
      </c>
      <c r="K80" s="309">
        <f>40033.22</f>
        <v>40033.22</v>
      </c>
      <c r="L80" s="309">
        <v>20690.36</v>
      </c>
      <c r="M80" s="309">
        <v>0</v>
      </c>
      <c r="N80" s="309">
        <v>77945.42</v>
      </c>
      <c r="O80" s="309">
        <v>20690.36</v>
      </c>
      <c r="P80" s="309">
        <v>51859.9</v>
      </c>
      <c r="Q80" s="309"/>
      <c r="R80" s="309">
        <v>77945.42</v>
      </c>
      <c r="S80" s="309">
        <v>69213.13</v>
      </c>
      <c r="T80" s="310">
        <v>51859.9</v>
      </c>
      <c r="U80" s="310">
        <v>55045.81</v>
      </c>
      <c r="V80" s="310">
        <f>69213.13+55045.81</f>
        <v>124258.94</v>
      </c>
      <c r="W80" s="310">
        <v>58150.13</v>
      </c>
      <c r="X80" s="310">
        <v>58150.13</v>
      </c>
      <c r="Y80" s="310">
        <v>66739.039999999994</v>
      </c>
      <c r="Z80" s="310"/>
      <c r="AA80" s="310">
        <v>80816.160000000003</v>
      </c>
      <c r="AB80" s="310"/>
      <c r="AC80" s="306">
        <f t="shared" si="1"/>
        <v>172268.19999999998</v>
      </c>
    </row>
    <row r="81" spans="1:29" x14ac:dyDescent="0.5">
      <c r="A81" s="237" t="s">
        <v>192</v>
      </c>
      <c r="B81" s="238">
        <f>Sheet3!AB79</f>
        <v>12233.470000000001</v>
      </c>
      <c r="C81" s="238"/>
      <c r="D81" s="308">
        <v>0</v>
      </c>
      <c r="E81" s="308"/>
      <c r="F81" s="308">
        <v>1934.03</v>
      </c>
      <c r="G81" s="309"/>
      <c r="H81" s="309">
        <v>0</v>
      </c>
      <c r="I81" s="309"/>
      <c r="J81" s="309">
        <v>0</v>
      </c>
      <c r="K81" s="309"/>
      <c r="L81" s="309">
        <v>0</v>
      </c>
      <c r="M81" s="309">
        <v>0</v>
      </c>
      <c r="N81" s="309">
        <v>0</v>
      </c>
      <c r="O81" s="309"/>
      <c r="P81" s="309">
        <v>0</v>
      </c>
      <c r="Q81" s="309"/>
      <c r="R81" s="309"/>
      <c r="S81" s="309">
        <v>0</v>
      </c>
      <c r="T81" s="310">
        <v>0</v>
      </c>
      <c r="U81" s="310">
        <v>0</v>
      </c>
      <c r="V81" s="310"/>
      <c r="W81" s="310">
        <v>0</v>
      </c>
      <c r="X81" s="310"/>
      <c r="Y81" s="310">
        <v>0</v>
      </c>
      <c r="Z81" s="310"/>
      <c r="AA81" s="310">
        <v>0</v>
      </c>
      <c r="AB81" s="310"/>
      <c r="AC81" s="306">
        <f t="shared" si="1"/>
        <v>14167.500000000002</v>
      </c>
    </row>
    <row r="82" spans="1:29" x14ac:dyDescent="0.5">
      <c r="A82" s="237" t="s">
        <v>311</v>
      </c>
      <c r="B82" s="238"/>
      <c r="C82" s="238"/>
      <c r="D82" s="308"/>
      <c r="E82" s="308"/>
      <c r="F82" s="308"/>
      <c r="G82" s="309"/>
      <c r="H82" s="309"/>
      <c r="I82" s="309"/>
      <c r="J82" s="309"/>
      <c r="K82" s="309"/>
      <c r="L82" s="309">
        <v>6432.1</v>
      </c>
      <c r="M82" s="309">
        <v>0</v>
      </c>
      <c r="N82" s="309">
        <v>0</v>
      </c>
      <c r="O82" s="309"/>
      <c r="P82" s="309">
        <v>0</v>
      </c>
      <c r="Q82" s="309"/>
      <c r="R82" s="309"/>
      <c r="S82" s="309">
        <v>0</v>
      </c>
      <c r="T82" s="310">
        <v>0</v>
      </c>
      <c r="U82" s="310">
        <v>0</v>
      </c>
      <c r="V82" s="310"/>
      <c r="W82" s="310">
        <v>0</v>
      </c>
      <c r="X82" s="310"/>
      <c r="Y82" s="310">
        <v>0</v>
      </c>
      <c r="Z82" s="310"/>
      <c r="AA82" s="310">
        <v>0</v>
      </c>
      <c r="AB82" s="310"/>
      <c r="AC82" s="306">
        <f t="shared" si="1"/>
        <v>6432.1</v>
      </c>
    </row>
    <row r="83" spans="1:29" x14ac:dyDescent="0.5">
      <c r="A83" s="237" t="s">
        <v>312</v>
      </c>
      <c r="B83" s="238"/>
      <c r="C83" s="238"/>
      <c r="D83" s="308"/>
      <c r="E83" s="308"/>
      <c r="F83" s="308"/>
      <c r="G83" s="309"/>
      <c r="H83" s="309"/>
      <c r="I83" s="309"/>
      <c r="J83" s="309"/>
      <c r="K83" s="309"/>
      <c r="L83" s="309"/>
      <c r="M83" s="309"/>
      <c r="N83" s="309">
        <v>20995.4</v>
      </c>
      <c r="O83" s="309"/>
      <c r="P83" s="309">
        <v>39517.360000000001</v>
      </c>
      <c r="Q83" s="309"/>
      <c r="R83" s="309"/>
      <c r="S83" s="309">
        <v>37528.660000000003</v>
      </c>
      <c r="T83" s="310">
        <v>0</v>
      </c>
      <c r="U83" s="310">
        <v>34767.29</v>
      </c>
      <c r="V83" s="310"/>
      <c r="W83" s="310">
        <v>5143.2700000000004</v>
      </c>
      <c r="X83" s="310"/>
      <c r="Y83" s="310">
        <v>0</v>
      </c>
      <c r="Z83" s="310"/>
      <c r="AA83" s="310">
        <v>0</v>
      </c>
      <c r="AB83" s="310"/>
      <c r="AC83" s="306">
        <f t="shared" si="1"/>
        <v>137951.98000000001</v>
      </c>
    </row>
    <row r="84" spans="1:29" x14ac:dyDescent="0.5">
      <c r="A84" s="237" t="s">
        <v>80</v>
      </c>
      <c r="B84" s="238">
        <f>Sheet3!AB64</f>
        <v>8372.5259999999998</v>
      </c>
      <c r="C84" s="238"/>
      <c r="D84" s="308">
        <v>11794.45</v>
      </c>
      <c r="E84" s="308">
        <v>7030.91</v>
      </c>
      <c r="F84" s="308">
        <v>6651.73</v>
      </c>
      <c r="G84" s="309"/>
      <c r="H84" s="309">
        <v>5842.73</v>
      </c>
      <c r="I84" s="309">
        <f>6651.73+5842.73</f>
        <v>12494.46</v>
      </c>
      <c r="J84" s="309">
        <v>5112.0600000000004</v>
      </c>
      <c r="K84" s="309"/>
      <c r="L84" s="309">
        <v>6554.05</v>
      </c>
      <c r="M84" s="309">
        <v>5112.0600000000004</v>
      </c>
      <c r="N84" s="309">
        <v>6227.91</v>
      </c>
      <c r="O84" s="309">
        <v>12781.96</v>
      </c>
      <c r="P84" s="309">
        <v>6264.98</v>
      </c>
      <c r="Q84" s="309"/>
      <c r="R84" s="309">
        <v>6264.98</v>
      </c>
      <c r="S84" s="309">
        <v>0</v>
      </c>
      <c r="T84" s="310">
        <v>0</v>
      </c>
      <c r="U84" s="310">
        <v>0</v>
      </c>
      <c r="V84" s="310"/>
      <c r="W84" s="310">
        <v>0</v>
      </c>
      <c r="X84" s="310"/>
      <c r="Y84" s="310">
        <v>26309.55</v>
      </c>
      <c r="Z84" s="310">
        <v>26309.55</v>
      </c>
      <c r="AA84" s="310">
        <v>9187.61</v>
      </c>
      <c r="AB84" s="310"/>
      <c r="AC84" s="306">
        <f t="shared" si="1"/>
        <v>22323.676000000003</v>
      </c>
    </row>
    <row r="85" spans="1:29" x14ac:dyDescent="0.5">
      <c r="A85" s="237" t="s">
        <v>191</v>
      </c>
      <c r="B85" s="238">
        <f>Sheet3!AB78</f>
        <v>7469.62</v>
      </c>
      <c r="C85" s="238"/>
      <c r="D85" s="308">
        <v>0</v>
      </c>
      <c r="E85" s="308"/>
      <c r="F85" s="308">
        <v>0</v>
      </c>
      <c r="G85" s="309"/>
      <c r="H85" s="309">
        <v>0</v>
      </c>
      <c r="I85" s="309"/>
      <c r="J85" s="309">
        <v>0</v>
      </c>
      <c r="K85" s="309"/>
      <c r="L85" s="309">
        <v>0</v>
      </c>
      <c r="M85" s="309">
        <v>0</v>
      </c>
      <c r="N85" s="309">
        <v>0</v>
      </c>
      <c r="O85" s="309"/>
      <c r="P85" s="309">
        <v>0</v>
      </c>
      <c r="Q85" s="309"/>
      <c r="R85" s="309"/>
      <c r="S85" s="309">
        <v>0</v>
      </c>
      <c r="T85" s="310">
        <v>0</v>
      </c>
      <c r="U85" s="310">
        <v>0</v>
      </c>
      <c r="V85" s="310"/>
      <c r="W85" s="310">
        <v>0</v>
      </c>
      <c r="X85" s="310"/>
      <c r="Y85" s="310">
        <v>0</v>
      </c>
      <c r="Z85" s="310"/>
      <c r="AA85" s="310">
        <v>2406.85</v>
      </c>
      <c r="AB85" s="310"/>
      <c r="AC85" s="306">
        <f t="shared" si="1"/>
        <v>9876.4699999999993</v>
      </c>
    </row>
    <row r="86" spans="1:29" x14ac:dyDescent="0.5">
      <c r="A86" s="237" t="s">
        <v>193</v>
      </c>
      <c r="B86" s="238">
        <f>Sheet3!AB80</f>
        <v>5834.62</v>
      </c>
      <c r="C86" s="238"/>
      <c r="D86" s="308">
        <v>0</v>
      </c>
      <c r="E86" s="308"/>
      <c r="F86" s="308">
        <v>0</v>
      </c>
      <c r="G86" s="309"/>
      <c r="H86" s="309">
        <v>0</v>
      </c>
      <c r="I86" s="309"/>
      <c r="J86" s="309">
        <v>0</v>
      </c>
      <c r="K86" s="309"/>
      <c r="L86" s="309">
        <v>0</v>
      </c>
      <c r="M86" s="309">
        <v>0</v>
      </c>
      <c r="N86" s="309">
        <v>0</v>
      </c>
      <c r="O86" s="309"/>
      <c r="P86" s="309">
        <v>0</v>
      </c>
      <c r="Q86" s="309"/>
      <c r="R86" s="309"/>
      <c r="S86" s="309">
        <v>0</v>
      </c>
      <c r="T86" s="310">
        <v>0</v>
      </c>
      <c r="U86" s="310">
        <v>0</v>
      </c>
      <c r="V86" s="310"/>
      <c r="W86" s="310">
        <v>0</v>
      </c>
      <c r="X86" s="310"/>
      <c r="Y86" s="310">
        <v>0</v>
      </c>
      <c r="Z86" s="310"/>
      <c r="AA86" s="310">
        <v>0</v>
      </c>
      <c r="AB86" s="310"/>
      <c r="AC86" s="306">
        <f t="shared" si="1"/>
        <v>5834.62</v>
      </c>
    </row>
    <row r="87" spans="1:29" x14ac:dyDescent="0.5">
      <c r="A87" s="237" t="s">
        <v>92</v>
      </c>
      <c r="B87" s="238">
        <f>Sheet3!AB83</f>
        <v>873.27</v>
      </c>
      <c r="C87" s="238"/>
      <c r="D87" s="308">
        <v>0</v>
      </c>
      <c r="E87" s="308"/>
      <c r="F87" s="308">
        <v>0</v>
      </c>
      <c r="G87" s="309"/>
      <c r="H87" s="309">
        <v>0</v>
      </c>
      <c r="I87" s="309"/>
      <c r="J87" s="309">
        <v>0</v>
      </c>
      <c r="K87" s="309"/>
      <c r="L87" s="309">
        <v>0</v>
      </c>
      <c r="M87" s="309">
        <v>0</v>
      </c>
      <c r="N87" s="309">
        <v>0</v>
      </c>
      <c r="O87" s="309"/>
      <c r="P87" s="309">
        <v>0</v>
      </c>
      <c r="Q87" s="309"/>
      <c r="R87" s="309"/>
      <c r="S87" s="309">
        <v>0</v>
      </c>
      <c r="T87" s="310">
        <v>0</v>
      </c>
      <c r="U87" s="310">
        <v>0</v>
      </c>
      <c r="V87" s="310"/>
      <c r="W87" s="310">
        <v>0</v>
      </c>
      <c r="X87" s="310"/>
      <c r="Y87" s="310">
        <v>0</v>
      </c>
      <c r="Z87" s="310"/>
      <c r="AA87" s="310">
        <v>0</v>
      </c>
      <c r="AB87" s="310"/>
      <c r="AC87" s="306">
        <f t="shared" si="1"/>
        <v>873.27</v>
      </c>
    </row>
    <row r="88" spans="1:29" x14ac:dyDescent="0.5">
      <c r="A88" s="239" t="s">
        <v>188</v>
      </c>
      <c r="B88" s="238">
        <f>Sheet3!AB63</f>
        <v>395.97</v>
      </c>
      <c r="C88" s="238"/>
      <c r="D88" s="308">
        <v>0</v>
      </c>
      <c r="E88" s="308"/>
      <c r="F88" s="308">
        <v>0</v>
      </c>
      <c r="G88" s="309"/>
      <c r="H88" s="309">
        <v>0</v>
      </c>
      <c r="I88" s="309"/>
      <c r="J88" s="309">
        <v>0</v>
      </c>
      <c r="K88" s="309"/>
      <c r="L88" s="309">
        <v>0</v>
      </c>
      <c r="M88" s="309">
        <v>0</v>
      </c>
      <c r="N88" s="309">
        <v>0</v>
      </c>
      <c r="O88" s="309"/>
      <c r="P88" s="309">
        <v>0</v>
      </c>
      <c r="Q88" s="309"/>
      <c r="R88" s="309"/>
      <c r="S88" s="309">
        <v>0</v>
      </c>
      <c r="T88" s="310">
        <v>0</v>
      </c>
      <c r="U88" s="310">
        <v>0</v>
      </c>
      <c r="V88" s="310"/>
      <c r="W88" s="310">
        <v>0</v>
      </c>
      <c r="X88" s="310"/>
      <c r="Y88" s="310">
        <v>0</v>
      </c>
      <c r="Z88" s="310"/>
      <c r="AA88" s="310">
        <v>0</v>
      </c>
      <c r="AB88" s="310"/>
      <c r="AC88" s="306">
        <f t="shared" si="1"/>
        <v>395.97</v>
      </c>
    </row>
    <row r="89" spans="1:29" x14ac:dyDescent="0.5">
      <c r="A89" s="241" t="s">
        <v>152</v>
      </c>
      <c r="B89" s="238">
        <v>2</v>
      </c>
      <c r="C89" s="238"/>
      <c r="D89" s="308">
        <v>0</v>
      </c>
      <c r="E89" s="308"/>
      <c r="F89" s="308">
        <v>0</v>
      </c>
      <c r="G89" s="309"/>
      <c r="H89" s="309">
        <v>0</v>
      </c>
      <c r="I89" s="309"/>
      <c r="J89" s="309">
        <v>0</v>
      </c>
      <c r="K89" s="309"/>
      <c r="L89" s="309">
        <v>0</v>
      </c>
      <c r="M89" s="309">
        <v>0</v>
      </c>
      <c r="N89" s="309">
        <v>0</v>
      </c>
      <c r="O89" s="309"/>
      <c r="P89" s="309">
        <v>0</v>
      </c>
      <c r="Q89" s="309"/>
      <c r="R89" s="309"/>
      <c r="S89" s="309">
        <v>0</v>
      </c>
      <c r="T89" s="310">
        <v>0</v>
      </c>
      <c r="U89" s="310">
        <v>0</v>
      </c>
      <c r="V89" s="310"/>
      <c r="W89" s="310">
        <v>0</v>
      </c>
      <c r="X89" s="310"/>
      <c r="Y89" s="310">
        <v>0</v>
      </c>
      <c r="Z89" s="310"/>
      <c r="AA89" s="310">
        <v>0</v>
      </c>
      <c r="AB89" s="310"/>
      <c r="AC89" s="306">
        <f t="shared" si="1"/>
        <v>2</v>
      </c>
    </row>
    <row r="90" spans="1:29" x14ac:dyDescent="0.5">
      <c r="A90" s="240" t="s">
        <v>140</v>
      </c>
      <c r="B90" s="238">
        <f>Sheet3!AB90</f>
        <v>-0.56000000000000005</v>
      </c>
      <c r="C90" s="238"/>
      <c r="D90" s="308">
        <v>0</v>
      </c>
      <c r="E90" s="308"/>
      <c r="F90" s="308">
        <v>0</v>
      </c>
      <c r="G90" s="309"/>
      <c r="H90" s="309">
        <v>0</v>
      </c>
      <c r="I90" s="309"/>
      <c r="J90" s="309">
        <v>0</v>
      </c>
      <c r="K90" s="309"/>
      <c r="L90" s="309">
        <v>0</v>
      </c>
      <c r="M90" s="309">
        <v>0</v>
      </c>
      <c r="N90" s="309">
        <v>0</v>
      </c>
      <c r="O90" s="309"/>
      <c r="P90" s="309">
        <v>0</v>
      </c>
      <c r="Q90" s="309"/>
      <c r="R90" s="309"/>
      <c r="S90" s="309">
        <v>0</v>
      </c>
      <c r="T90" s="310">
        <v>0</v>
      </c>
      <c r="U90" s="310">
        <v>0</v>
      </c>
      <c r="V90" s="310"/>
      <c r="W90" s="310">
        <v>0</v>
      </c>
      <c r="X90" s="310"/>
      <c r="Y90" s="310">
        <v>0</v>
      </c>
      <c r="Z90" s="310"/>
      <c r="AA90" s="310">
        <v>0</v>
      </c>
      <c r="AB90" s="310"/>
      <c r="AC90" s="306">
        <f t="shared" si="1"/>
        <v>-0.56000000000000005</v>
      </c>
    </row>
    <row r="91" spans="1:29" x14ac:dyDescent="0.5">
      <c r="A91" s="237" t="s">
        <v>56</v>
      </c>
      <c r="B91" s="238">
        <f>Sheet3!AB39</f>
        <v>-2859.530000000057</v>
      </c>
      <c r="C91" s="238"/>
      <c r="D91" s="308">
        <v>36440</v>
      </c>
      <c r="E91" s="308">
        <f>36440+36440</f>
        <v>72880</v>
      </c>
      <c r="F91" s="308">
        <v>36440</v>
      </c>
      <c r="G91" s="309">
        <v>36440</v>
      </c>
      <c r="H91" s="309">
        <v>36440</v>
      </c>
      <c r="I91" s="309"/>
      <c r="J91" s="311">
        <v>36440</v>
      </c>
      <c r="K91" s="308"/>
      <c r="L91" s="309">
        <v>0</v>
      </c>
      <c r="M91" s="309">
        <v>0</v>
      </c>
      <c r="N91" s="309">
        <v>72880</v>
      </c>
      <c r="O91" s="309"/>
      <c r="P91" s="309">
        <v>36440</v>
      </c>
      <c r="Q91" s="309"/>
      <c r="R91" s="309"/>
      <c r="S91" s="309">
        <v>0</v>
      </c>
      <c r="T91" s="310">
        <v>0</v>
      </c>
      <c r="U91" s="310">
        <v>0</v>
      </c>
      <c r="V91" s="310"/>
      <c r="W91" s="310">
        <v>0</v>
      </c>
      <c r="X91" s="310"/>
      <c r="Y91" s="310">
        <v>145760</v>
      </c>
      <c r="Z91" s="310"/>
      <c r="AA91" s="310">
        <v>36440</v>
      </c>
      <c r="AB91" s="310"/>
      <c r="AC91" s="306">
        <f t="shared" si="1"/>
        <v>325100.46999999997</v>
      </c>
    </row>
    <row r="92" spans="1:29" x14ac:dyDescent="0.5">
      <c r="A92" s="312" t="s">
        <v>313</v>
      </c>
      <c r="B92" s="242"/>
      <c r="C92" s="242"/>
      <c r="D92" s="313"/>
      <c r="E92" s="313"/>
      <c r="F92" s="313"/>
      <c r="G92" s="311"/>
      <c r="H92" s="311"/>
      <c r="I92" s="314"/>
      <c r="J92" s="311"/>
      <c r="K92" s="308"/>
      <c r="L92" s="309"/>
      <c r="M92" s="309"/>
      <c r="N92" s="309"/>
      <c r="O92" s="309"/>
      <c r="P92" s="309">
        <v>652.48</v>
      </c>
      <c r="Q92" s="309">
        <v>0</v>
      </c>
      <c r="R92" s="309"/>
      <c r="S92" s="309">
        <v>0</v>
      </c>
      <c r="T92" s="310">
        <v>0</v>
      </c>
      <c r="U92" s="310">
        <v>0</v>
      </c>
      <c r="V92" s="310"/>
      <c r="W92" s="310">
        <v>0</v>
      </c>
      <c r="X92" s="310"/>
      <c r="Y92" s="310">
        <v>0</v>
      </c>
      <c r="Z92" s="310"/>
      <c r="AA92" s="310">
        <v>0</v>
      </c>
      <c r="AB92" s="310"/>
      <c r="AC92" s="306">
        <f t="shared" si="1"/>
        <v>652.48</v>
      </c>
    </row>
    <row r="93" spans="1:29" x14ac:dyDescent="0.5">
      <c r="A93" s="239" t="s">
        <v>83</v>
      </c>
      <c r="B93" s="242">
        <f>Sheet3!AB67</f>
        <v>-136058.69</v>
      </c>
      <c r="C93" s="242"/>
      <c r="D93" s="313">
        <v>29200.57</v>
      </c>
      <c r="E93" s="313"/>
      <c r="F93" s="313">
        <v>29679.1</v>
      </c>
      <c r="G93" s="311"/>
      <c r="H93" s="311">
        <v>28755.88</v>
      </c>
      <c r="I93" s="314"/>
      <c r="J93" s="308">
        <v>26489.040000000001</v>
      </c>
      <c r="K93" s="308"/>
      <c r="L93" s="309">
        <v>35543.480000000003</v>
      </c>
      <c r="M93" s="309">
        <v>0</v>
      </c>
      <c r="N93" s="309">
        <v>35508.879999999997</v>
      </c>
      <c r="O93" s="309">
        <v>52329.52</v>
      </c>
      <c r="P93" s="309">
        <v>33389.39</v>
      </c>
      <c r="Q93" s="309"/>
      <c r="R93" s="309"/>
      <c r="S93" s="309">
        <v>0</v>
      </c>
      <c r="T93" s="310">
        <v>33389.39</v>
      </c>
      <c r="U93" s="310">
        <v>0</v>
      </c>
      <c r="V93" s="310"/>
      <c r="W93" s="310">
        <v>0</v>
      </c>
      <c r="X93" s="310">
        <v>0</v>
      </c>
      <c r="Y93" s="310">
        <v>119052.73</v>
      </c>
      <c r="Z93" s="310">
        <v>119052.73</v>
      </c>
      <c r="AA93" s="310">
        <v>29689.41</v>
      </c>
      <c r="AB93" s="310"/>
      <c r="AC93" s="306">
        <f t="shared" si="1"/>
        <v>26478.15000000002</v>
      </c>
    </row>
    <row r="94" spans="1:29" x14ac:dyDescent="0.5">
      <c r="A94" s="243" t="s">
        <v>61</v>
      </c>
      <c r="B94" s="242">
        <f>Sheet3!AB44</f>
        <v>-144640.70000000013</v>
      </c>
      <c r="C94" s="242">
        <f>44580.39+55+61981.83+17986.98+33475</f>
        <v>158079.20000000001</v>
      </c>
      <c r="D94" s="313">
        <v>91443.98</v>
      </c>
      <c r="E94" s="313">
        <f>82287.61+9156.37</f>
        <v>91443.98</v>
      </c>
      <c r="F94" s="313">
        <v>97457.46</v>
      </c>
      <c r="G94" s="313">
        <f>6154.89+44308.82+40410+5555+29224.71+12214.04</f>
        <v>137867.46</v>
      </c>
      <c r="H94" s="313">
        <v>99937.67</v>
      </c>
      <c r="I94" s="315">
        <f>49675.11+42318.94</f>
        <v>91994.05</v>
      </c>
      <c r="J94" s="313">
        <v>97380.87</v>
      </c>
      <c r="K94" s="316">
        <f>7943.62+40760.86+56620.01</f>
        <v>105324.49</v>
      </c>
      <c r="L94" s="316">
        <v>30054.38</v>
      </c>
      <c r="M94" s="316">
        <f>19419.44</f>
        <v>19419.439999999999</v>
      </c>
      <c r="N94" s="316">
        <v>167403.73000000001</v>
      </c>
      <c r="O94" s="316">
        <v>165321.21</v>
      </c>
      <c r="P94" s="316">
        <v>114487.53</v>
      </c>
      <c r="Q94" s="316">
        <v>25369.02</v>
      </c>
      <c r="R94" s="316">
        <v>113287.7</v>
      </c>
      <c r="S94" s="308">
        <v>118595.79</v>
      </c>
      <c r="T94" s="310">
        <v>0</v>
      </c>
      <c r="U94" s="310">
        <v>97572.09</v>
      </c>
      <c r="V94" s="310">
        <f>42499.05+2495.13+5555+13593.54+55219.87+502+1058.25+10273.27</f>
        <v>131196.10999999999</v>
      </c>
      <c r="W94" s="310">
        <v>99944.03</v>
      </c>
      <c r="X94" s="310">
        <f>5755+132.5+27286.02+2151.91+28870.02</f>
        <v>64195.450000000012</v>
      </c>
      <c r="Y94" s="310">
        <v>123411.53</v>
      </c>
      <c r="Z94" s="310">
        <f>18.5+5555+5555+32083.64+93187.7+89226.21+29390.85+10880</f>
        <v>265896.90000000002</v>
      </c>
      <c r="AA94" s="310">
        <v>99868.25</v>
      </c>
      <c r="AB94" s="310"/>
      <c r="AC94" s="306">
        <f t="shared" si="1"/>
        <v>-225740.36000000022</v>
      </c>
    </row>
    <row r="95" spans="1:29" x14ac:dyDescent="0.5">
      <c r="A95" s="243" t="s">
        <v>314</v>
      </c>
      <c r="B95" s="242"/>
      <c r="C95" s="242"/>
      <c r="D95" s="313"/>
      <c r="E95" s="313"/>
      <c r="F95" s="313"/>
      <c r="G95" s="313"/>
      <c r="H95" s="313"/>
      <c r="I95" s="313"/>
      <c r="J95" s="313"/>
      <c r="K95" s="313"/>
      <c r="L95" s="313"/>
      <c r="M95" s="313"/>
      <c r="N95" s="313"/>
      <c r="O95" s="313"/>
      <c r="P95" s="313"/>
      <c r="Q95" s="313">
        <v>55460.2</v>
      </c>
      <c r="R95" s="308"/>
      <c r="S95" s="308">
        <v>0</v>
      </c>
      <c r="T95" s="310">
        <v>0</v>
      </c>
      <c r="U95" s="310"/>
      <c r="V95" s="310"/>
      <c r="W95" s="310">
        <v>662.94</v>
      </c>
      <c r="X95" s="310"/>
      <c r="Y95" s="310"/>
      <c r="Z95" s="310"/>
      <c r="AA95" s="310">
        <v>21610.74</v>
      </c>
      <c r="AB95" s="310"/>
      <c r="AC95" s="306">
        <f t="shared" si="1"/>
        <v>77733.88</v>
      </c>
    </row>
    <row r="96" spans="1:29" x14ac:dyDescent="0.5">
      <c r="A96" s="243" t="s">
        <v>315</v>
      </c>
      <c r="B96" s="242"/>
      <c r="C96" s="242"/>
      <c r="D96" s="313"/>
      <c r="E96" s="313"/>
      <c r="F96" s="313"/>
      <c r="G96" s="313"/>
      <c r="H96" s="313"/>
      <c r="I96" s="313"/>
      <c r="J96" s="313"/>
      <c r="K96" s="313"/>
      <c r="L96" s="313"/>
      <c r="M96" s="313"/>
      <c r="N96" s="313"/>
      <c r="O96" s="313"/>
      <c r="P96" s="313"/>
      <c r="Q96" s="313"/>
      <c r="R96" s="313"/>
      <c r="S96" s="313"/>
      <c r="T96" s="314"/>
      <c r="U96" s="314"/>
      <c r="V96" s="314"/>
      <c r="W96" s="314"/>
      <c r="X96" s="308"/>
      <c r="Y96" s="308">
        <v>493055.1</v>
      </c>
      <c r="Z96" s="309"/>
      <c r="AA96" s="309">
        <v>0</v>
      </c>
      <c r="AB96" s="309"/>
      <c r="AC96" s="306">
        <f t="shared" si="1"/>
        <v>493055.1</v>
      </c>
    </row>
    <row r="97" spans="1:31" ht="21.5" thickBot="1" x14ac:dyDescent="0.55000000000000004">
      <c r="A97" s="298" t="s">
        <v>316</v>
      </c>
      <c r="B97" s="299"/>
      <c r="C97" s="299"/>
      <c r="D97" s="317"/>
      <c r="E97" s="317"/>
      <c r="F97" s="317"/>
      <c r="G97" s="317"/>
      <c r="H97" s="317"/>
      <c r="I97" s="317"/>
      <c r="J97" s="317"/>
      <c r="K97" s="317"/>
      <c r="L97" s="317"/>
      <c r="M97" s="317"/>
      <c r="N97" s="317"/>
      <c r="O97" s="317"/>
      <c r="P97" s="317"/>
      <c r="Q97" s="317">
        <v>17265.66</v>
      </c>
      <c r="R97" s="317"/>
      <c r="S97" s="317">
        <v>0</v>
      </c>
      <c r="T97" s="318">
        <v>0</v>
      </c>
      <c r="U97" s="318"/>
      <c r="V97" s="314"/>
      <c r="W97" s="314"/>
      <c r="X97" s="313"/>
      <c r="Y97" s="313"/>
      <c r="Z97" s="311"/>
      <c r="AA97" s="311">
        <v>0</v>
      </c>
      <c r="AB97" s="311"/>
      <c r="AC97" s="306">
        <f t="shared" si="1"/>
        <v>17265.66</v>
      </c>
      <c r="AD97" s="682"/>
      <c r="AE97" s="682"/>
    </row>
    <row r="98" spans="1:31" ht="21.5" thickBot="1" x14ac:dyDescent="0.55000000000000004">
      <c r="A98" s="296" t="s">
        <v>6</v>
      </c>
      <c r="B98" s="297">
        <f t="shared" ref="B98:P98" si="2">SUM(B5:B94)</f>
        <v>204295238.95600003</v>
      </c>
      <c r="C98" s="297">
        <f t="shared" si="2"/>
        <v>22133465.320999995</v>
      </c>
      <c r="D98" s="319">
        <f t="shared" si="2"/>
        <v>61536800.150000006</v>
      </c>
      <c r="E98" s="319">
        <f t="shared" si="2"/>
        <v>64909948.010000013</v>
      </c>
      <c r="F98" s="319">
        <f t="shared" si="2"/>
        <v>62351631.170000002</v>
      </c>
      <c r="G98" s="319">
        <f t="shared" si="2"/>
        <v>39750717.019999996</v>
      </c>
      <c r="H98" s="319">
        <f t="shared" si="2"/>
        <v>60372955.920000002</v>
      </c>
      <c r="I98" s="319">
        <f t="shared" si="2"/>
        <v>73436399.310000017</v>
      </c>
      <c r="J98" s="319">
        <f t="shared" si="2"/>
        <v>58222672.269999981</v>
      </c>
      <c r="K98" s="319">
        <f t="shared" si="2"/>
        <v>63491379.979999989</v>
      </c>
      <c r="L98" s="319">
        <f t="shared" si="2"/>
        <v>47699801.279999994</v>
      </c>
      <c r="M98" s="319">
        <f t="shared" si="2"/>
        <v>49111536.869999997</v>
      </c>
      <c r="N98" s="319">
        <f t="shared" si="2"/>
        <v>84892010.910000026</v>
      </c>
      <c r="O98" s="319">
        <f t="shared" si="2"/>
        <v>40447213.459999986</v>
      </c>
      <c r="P98" s="319">
        <f t="shared" si="2"/>
        <v>62640087.069999985</v>
      </c>
      <c r="Q98" s="319">
        <f>SUM(Q5:Q97)</f>
        <v>29769286.030000009</v>
      </c>
      <c r="R98" s="319">
        <f>SUM(R5:R97)</f>
        <v>58738718.260000005</v>
      </c>
      <c r="S98" s="319">
        <f>SUM(S5:S97)</f>
        <v>61524784.920000009</v>
      </c>
      <c r="T98" s="320">
        <f>SUM(T5:T97)</f>
        <v>64003529.420000009</v>
      </c>
      <c r="U98" s="320">
        <f>SUM(U5:U97)</f>
        <v>68749550.520000011</v>
      </c>
      <c r="V98" s="321">
        <f>SUM(V6:V97)</f>
        <v>15988526.399999993</v>
      </c>
      <c r="W98" s="322">
        <f t="shared" ref="W98:AC98" si="3">SUM(W5:W97)</f>
        <v>64565666.059999973</v>
      </c>
      <c r="X98" s="321">
        <f t="shared" si="3"/>
        <v>83009081.470000014</v>
      </c>
      <c r="Y98" s="322">
        <f t="shared" si="3"/>
        <v>84124863.590000018</v>
      </c>
      <c r="Z98" s="321">
        <f t="shared" si="3"/>
        <v>113096580.87</v>
      </c>
      <c r="AA98" s="321">
        <f t="shared" si="3"/>
        <v>63725521.609999977</v>
      </c>
      <c r="AB98" s="321">
        <f>SUM(AB5:AB97)</f>
        <v>11685882.01</v>
      </c>
      <c r="AC98" s="326">
        <f t="shared" si="3"/>
        <v>314667892.05500007</v>
      </c>
      <c r="AD98" s="682"/>
      <c r="AE98" s="331"/>
    </row>
    <row r="100" spans="1:31" x14ac:dyDescent="0.5">
      <c r="A100" s="12" t="s">
        <v>317</v>
      </c>
      <c r="B100" s="246"/>
      <c r="C100" s="246"/>
      <c r="D100" s="300">
        <f>61992016.35-D98</f>
        <v>455216.19999999553</v>
      </c>
      <c r="F100" s="300">
        <f>62809887.82-F98</f>
        <v>458256.64999999851</v>
      </c>
      <c r="H100" s="300">
        <v>448852.16</v>
      </c>
      <c r="J100" s="300">
        <v>462589.83</v>
      </c>
      <c r="L100" s="300">
        <v>500434.24</v>
      </c>
      <c r="N100" s="300">
        <v>433543.56</v>
      </c>
      <c r="O100" s="300">
        <v>0</v>
      </c>
      <c r="P100" s="300">
        <v>430134.86</v>
      </c>
      <c r="S100" s="300">
        <v>419288.82</v>
      </c>
      <c r="U100" s="300">
        <v>416773.81</v>
      </c>
      <c r="W100" s="300">
        <v>344353.05</v>
      </c>
      <c r="Y100" s="300">
        <v>478614.38</v>
      </c>
      <c r="AA100" s="300">
        <v>437858.8</v>
      </c>
      <c r="AC100" s="247"/>
      <c r="AD100" s="682"/>
      <c r="AE100" s="682"/>
    </row>
    <row r="101" spans="1:31" x14ac:dyDescent="0.5">
      <c r="A101" s="12" t="s">
        <v>318</v>
      </c>
      <c r="B101" s="39"/>
      <c r="C101" s="39"/>
      <c r="D101" s="323">
        <f>D98+D100</f>
        <v>61992016.350000001</v>
      </c>
      <c r="E101" s="323"/>
      <c r="F101" s="323">
        <f>F98+F100</f>
        <v>62809887.82</v>
      </c>
      <c r="G101" s="323"/>
      <c r="H101" s="323">
        <f>H98+H100</f>
        <v>60821808.079999998</v>
      </c>
      <c r="I101" s="323"/>
      <c r="J101" s="323">
        <f>SUM(J98:J100)</f>
        <v>58685262.099999979</v>
      </c>
      <c r="K101" s="323"/>
      <c r="L101" s="323">
        <f>L98+L100</f>
        <v>48200235.519999996</v>
      </c>
      <c r="M101" s="323"/>
      <c r="N101" s="323">
        <f>N98+N100</f>
        <v>85325554.470000029</v>
      </c>
      <c r="O101" s="323"/>
      <c r="P101" s="323">
        <f>P98+P100</f>
        <v>63070221.929999985</v>
      </c>
      <c r="Q101" s="323">
        <f>Q98</f>
        <v>29769286.030000009</v>
      </c>
      <c r="R101" s="323"/>
      <c r="S101" s="323">
        <f>S98+S100</f>
        <v>61944073.74000001</v>
      </c>
      <c r="T101" s="323"/>
      <c r="U101" s="323">
        <f>U98+U100</f>
        <v>69166324.330000013</v>
      </c>
      <c r="V101" s="323"/>
      <c r="W101" s="323">
        <f>W98+W100</f>
        <v>64910019.10999997</v>
      </c>
      <c r="X101" s="323">
        <f>X98-83009081.47</f>
        <v>0</v>
      </c>
      <c r="Y101" s="323">
        <f>Y98+Y100</f>
        <v>84603477.970000014</v>
      </c>
      <c r="Z101" s="323"/>
      <c r="AA101" s="323">
        <f>AA98+AA100</f>
        <v>64163380.409999974</v>
      </c>
      <c r="AB101" s="323"/>
      <c r="AC101" s="246"/>
      <c r="AD101" s="133"/>
      <c r="AE101" s="682"/>
    </row>
    <row r="102" spans="1:31" x14ac:dyDescent="0.5">
      <c r="K102" s="300">
        <f>63491379.98-K98</f>
        <v>0</v>
      </c>
      <c r="AD102" s="133"/>
      <c r="AE102" s="682"/>
    </row>
    <row r="103" spans="1:31" x14ac:dyDescent="0.5">
      <c r="N103" s="300">
        <f>N101-85325554.47</f>
        <v>0</v>
      </c>
      <c r="P103" s="300">
        <f>63070221.93-P101</f>
        <v>0</v>
      </c>
      <c r="V103" s="300">
        <f>15988526.4-V98</f>
        <v>0</v>
      </c>
      <c r="Y103" s="300">
        <f>84603477.97-Y101</f>
        <v>0</v>
      </c>
      <c r="AD103" s="682"/>
      <c r="AE103" s="682"/>
    </row>
  </sheetData>
  <mergeCells count="1">
    <mergeCell ref="A1:A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E110"/>
  <sheetViews>
    <sheetView view="pageBreakPreview" topLeftCell="A28" zoomScale="60" zoomScaleNormal="100" workbookViewId="0">
      <selection activeCell="W14" sqref="W14"/>
    </sheetView>
  </sheetViews>
  <sheetFormatPr defaultRowHeight="26" x14ac:dyDescent="0.6"/>
  <cols>
    <col min="1" max="1" width="156.90625" style="343" customWidth="1"/>
    <col min="2" max="2" width="53.453125" style="343" hidden="1" customWidth="1"/>
    <col min="3" max="3" width="39.90625" style="343" hidden="1" customWidth="1"/>
    <col min="4" max="4" width="35.453125" style="343" hidden="1" customWidth="1"/>
    <col min="5" max="5" width="37.54296875" style="334" hidden="1" customWidth="1"/>
    <col min="6" max="7" width="35.08984375" style="334" hidden="1" customWidth="1"/>
    <col min="8" max="8" width="36.6328125" style="334" hidden="1" customWidth="1"/>
    <col min="9" max="9" width="33.54296875" style="334" hidden="1" customWidth="1"/>
    <col min="10" max="10" width="37.90625" style="334" hidden="1" customWidth="1"/>
    <col min="11" max="11" width="34.36328125" style="334" hidden="1" customWidth="1"/>
    <col min="12" max="12" width="34.6328125" style="334" hidden="1" customWidth="1"/>
    <col min="13" max="13" width="36.90625" style="334" hidden="1" customWidth="1"/>
    <col min="14" max="14" width="34.6328125" style="334" hidden="1" customWidth="1"/>
    <col min="15" max="15" width="43.36328125" style="334" customWidth="1"/>
    <col min="16" max="16" width="32" style="334" customWidth="1"/>
    <col min="17" max="17" width="43.36328125" style="334" customWidth="1"/>
    <col min="18" max="18" width="37.36328125" style="334" customWidth="1"/>
    <col min="19" max="19" width="39.6328125" style="334" customWidth="1"/>
    <col min="20" max="20" width="48.90625" style="334" customWidth="1"/>
    <col min="21" max="21" width="43.453125" style="334" customWidth="1"/>
    <col min="22" max="22" width="42.6328125" style="334" customWidth="1"/>
    <col min="23" max="23" width="39.90625" style="334" customWidth="1"/>
    <col min="24" max="24" width="41.36328125" style="334" customWidth="1"/>
    <col min="25" max="25" width="42.54296875" style="334" customWidth="1"/>
    <col min="26" max="26" width="41.08984375" style="334" customWidth="1"/>
    <col min="27" max="28" width="43" style="334" customWidth="1"/>
    <col min="29" max="29" width="39" style="334" customWidth="1"/>
    <col min="30" max="30" width="34.90625" style="344" customWidth="1"/>
    <col min="31" max="31" width="15.08984375" style="345" bestFit="1" customWidth="1"/>
    <col min="32" max="33" width="9.08984375" style="343"/>
  </cols>
  <sheetData>
    <row r="1" spans="1:29" x14ac:dyDescent="0.6">
      <c r="A1" s="1033" t="s">
        <v>0</v>
      </c>
      <c r="B1" s="342"/>
      <c r="C1" s="342"/>
      <c r="U1" s="334">
        <f>Q101+W101</f>
        <v>681053.32000000007</v>
      </c>
    </row>
    <row r="2" spans="1:29" ht="26.5" thickBot="1" x14ac:dyDescent="0.65">
      <c r="A2" s="1034"/>
      <c r="D2" s="342"/>
    </row>
    <row r="3" spans="1:29" ht="90.75" customHeight="1" thickBot="1" x14ac:dyDescent="0.65">
      <c r="A3" s="346">
        <v>42094</v>
      </c>
      <c r="B3" s="347" t="s">
        <v>293</v>
      </c>
      <c r="C3" s="347"/>
      <c r="D3" s="347" t="s">
        <v>3</v>
      </c>
      <c r="E3" s="347" t="s">
        <v>5</v>
      </c>
      <c r="F3" s="347" t="s">
        <v>3</v>
      </c>
      <c r="G3" s="347" t="s">
        <v>5</v>
      </c>
      <c r="H3" s="347" t="s">
        <v>3</v>
      </c>
      <c r="I3" s="347" t="s">
        <v>5</v>
      </c>
      <c r="J3" s="347" t="s">
        <v>3</v>
      </c>
      <c r="K3" s="347" t="s">
        <v>5</v>
      </c>
      <c r="L3" s="347" t="s">
        <v>3</v>
      </c>
      <c r="M3" s="347" t="s">
        <v>5</v>
      </c>
      <c r="N3" s="347" t="s">
        <v>3</v>
      </c>
      <c r="O3" s="347" t="s">
        <v>5</v>
      </c>
      <c r="P3" s="347" t="s">
        <v>3</v>
      </c>
      <c r="Q3" s="347" t="s">
        <v>5</v>
      </c>
      <c r="R3" s="347" t="s">
        <v>181</v>
      </c>
      <c r="S3" s="347" t="s">
        <v>5</v>
      </c>
      <c r="T3" s="347" t="s">
        <v>181</v>
      </c>
      <c r="U3" s="347" t="s">
        <v>5</v>
      </c>
      <c r="V3" s="347" t="s">
        <v>181</v>
      </c>
      <c r="W3" s="347" t="s">
        <v>5</v>
      </c>
      <c r="X3" s="347" t="s">
        <v>181</v>
      </c>
      <c r="Y3" s="347" t="s">
        <v>5</v>
      </c>
      <c r="Z3" s="347" t="s">
        <v>181</v>
      </c>
      <c r="AA3" s="347" t="s">
        <v>5</v>
      </c>
      <c r="AB3" s="347" t="s">
        <v>5</v>
      </c>
      <c r="AC3" s="335" t="s">
        <v>6</v>
      </c>
    </row>
    <row r="4" spans="1:29" ht="85.5" customHeight="1" thickBot="1" x14ac:dyDescent="0.65">
      <c r="A4" s="348" t="s">
        <v>1</v>
      </c>
      <c r="B4" s="349" t="s">
        <v>213</v>
      </c>
      <c r="C4" s="349" t="s">
        <v>319</v>
      </c>
      <c r="D4" s="349" t="s">
        <v>320</v>
      </c>
      <c r="E4" s="350" t="s">
        <v>320</v>
      </c>
      <c r="F4" s="350" t="s">
        <v>321</v>
      </c>
      <c r="G4" s="350" t="s">
        <v>321</v>
      </c>
      <c r="H4" s="350" t="s">
        <v>322</v>
      </c>
      <c r="I4" s="350" t="s">
        <v>322</v>
      </c>
      <c r="J4" s="351" t="s">
        <v>323</v>
      </c>
      <c r="K4" s="351" t="s">
        <v>323</v>
      </c>
      <c r="L4" s="351" t="s">
        <v>324</v>
      </c>
      <c r="M4" s="351" t="s">
        <v>324</v>
      </c>
      <c r="N4" s="351" t="s">
        <v>325</v>
      </c>
      <c r="O4" s="351" t="s">
        <v>325</v>
      </c>
      <c r="P4" s="351" t="s">
        <v>326</v>
      </c>
      <c r="Q4" s="351" t="s">
        <v>326</v>
      </c>
      <c r="R4" s="351" t="s">
        <v>327</v>
      </c>
      <c r="S4" s="351" t="s">
        <v>327</v>
      </c>
      <c r="T4" s="351" t="s">
        <v>328</v>
      </c>
      <c r="U4" s="351" t="s">
        <v>328</v>
      </c>
      <c r="V4" s="351" t="s">
        <v>329</v>
      </c>
      <c r="W4" s="351" t="s">
        <v>329</v>
      </c>
      <c r="X4" s="351" t="s">
        <v>330</v>
      </c>
      <c r="Y4" s="351" t="s">
        <v>330</v>
      </c>
      <c r="Z4" s="351" t="s">
        <v>331</v>
      </c>
      <c r="AA4" s="351" t="s">
        <v>332</v>
      </c>
      <c r="AB4" s="351" t="s">
        <v>333</v>
      </c>
      <c r="AC4" s="336"/>
    </row>
    <row r="5" spans="1:29" x14ac:dyDescent="0.6">
      <c r="AC5" s="337"/>
    </row>
    <row r="6" spans="1:29" x14ac:dyDescent="0.6">
      <c r="A6" s="352" t="s">
        <v>25</v>
      </c>
      <c r="B6" s="353">
        <f>'2013-2014'!AC5</f>
        <v>83590629.789999992</v>
      </c>
      <c r="C6" s="353"/>
      <c r="D6" s="353"/>
      <c r="E6" s="338">
        <v>3006005.53</v>
      </c>
      <c r="F6" s="338">
        <v>6421416.8499999996</v>
      </c>
      <c r="G6" s="338">
        <v>5669167.7300000004</v>
      </c>
      <c r="H6" s="338"/>
      <c r="I6" s="338">
        <v>-6767465.4699999997</v>
      </c>
      <c r="J6" s="338">
        <v>3006005.53</v>
      </c>
      <c r="K6" s="338">
        <v>3078606.48</v>
      </c>
      <c r="L6" s="338">
        <v>5669167.7300000004</v>
      </c>
      <c r="M6" s="338">
        <v>3882190.42</v>
      </c>
      <c r="N6" s="338">
        <v>4471464.54</v>
      </c>
      <c r="O6" s="338">
        <v>3243997.81</v>
      </c>
      <c r="P6" s="338">
        <f>3078606.48+7126188.23</f>
        <v>10204794.710000001</v>
      </c>
      <c r="Q6" s="338">
        <v>8172549.2800000003</v>
      </c>
      <c r="R6" s="338">
        <v>4558108.79</v>
      </c>
      <c r="S6" s="338">
        <v>6320719.3600000003</v>
      </c>
      <c r="T6" s="338"/>
      <c r="U6" s="338">
        <v>3969560.34</v>
      </c>
      <c r="V6" s="338"/>
      <c r="W6" s="338">
        <v>2367550.08</v>
      </c>
      <c r="X6" s="338">
        <v>8172549.2800000003</v>
      </c>
      <c r="Y6" s="338">
        <v>2229747.38</v>
      </c>
      <c r="Z6" s="338">
        <v>2367550.08</v>
      </c>
      <c r="AA6" s="338">
        <v>1866678.34</v>
      </c>
      <c r="AB6" s="338">
        <v>1049276.5900000001</v>
      </c>
      <c r="AC6" s="338">
        <f>B6-C6-D6+E6-F6+G6-H6+I6-J6+K6-L6+M6-N6+O6-P6+Q6-R6+S6-T6+U6-V6+W6-X6+Y6-Z6+AA6+AB6</f>
        <v>76808156.149999991</v>
      </c>
    </row>
    <row r="7" spans="1:29" x14ac:dyDescent="0.6">
      <c r="A7" s="352" t="s">
        <v>24</v>
      </c>
      <c r="B7" s="353">
        <f>'2013-2014'!AC6</f>
        <v>47119328.399999999</v>
      </c>
      <c r="C7" s="353"/>
      <c r="D7" s="353">
        <f>796240.9+190892.8+49385.08+549526.34+1150256.78</f>
        <v>2736301.9</v>
      </c>
      <c r="E7" s="338">
        <v>3398559.01</v>
      </c>
      <c r="F7" s="338">
        <f>86410+454260.36+598030.59+78049.93</f>
        <v>1216750.8799999999</v>
      </c>
      <c r="G7" s="338">
        <v>3885408.53</v>
      </c>
      <c r="H7" s="354">
        <f>39366.53+705315.49+708711.74</f>
        <v>1453393.76</v>
      </c>
      <c r="I7" s="354">
        <v>-10011162.720000001</v>
      </c>
      <c r="J7" s="354">
        <f>40016.25+55134.55+330735.4</f>
        <v>425886.2</v>
      </c>
      <c r="K7" s="354">
        <v>3369234.14</v>
      </c>
      <c r="L7" s="354">
        <f>223870.28+624467.37+187789.9+498696.6+359108.62+93922.39+909462.81+297756.65+113657.63+1045081.51+78741.65</f>
        <v>4432555.41</v>
      </c>
      <c r="M7" s="354">
        <v>4373014.54</v>
      </c>
      <c r="N7" s="354">
        <f>122219.21+371817.24+1042799.4+185215.11+696367.6+138548.81</f>
        <v>2556967.37</v>
      </c>
      <c r="O7" s="354">
        <v>3768836.09</v>
      </c>
      <c r="P7" s="354">
        <f>154309.34+418787.72+152968.8+945397.82+119303.17</f>
        <v>1790766.8499999996</v>
      </c>
      <c r="Q7" s="354">
        <v>7839878.54</v>
      </c>
      <c r="R7" s="354">
        <f>157729.18+180582.14+680345.91+2026755.69+68604.58</f>
        <v>3114017.5</v>
      </c>
      <c r="S7" s="354">
        <v>6129796.8200000003</v>
      </c>
      <c r="T7" s="355">
        <f>2273731.78+838158.45+181994.12</f>
        <v>3293884.3499999996</v>
      </c>
      <c r="U7" s="355">
        <v>4136537.56</v>
      </c>
      <c r="V7" s="355">
        <f>447416.11+790402.42</f>
        <v>1237818.53</v>
      </c>
      <c r="W7" s="355">
        <v>3987060.85</v>
      </c>
      <c r="X7" s="355">
        <f>461294.98+703869.55+422195</f>
        <v>1587359.53</v>
      </c>
      <c r="Y7" s="355">
        <v>3836204.4</v>
      </c>
      <c r="Z7" s="355">
        <f>2458568.26+152642.22+985902.57+2061362.28+1451389.42+864813.01+880637.29+3862869.54+423455.47+1353348.57+124187.64+159880.76+176149.9+890900.04+1010025.63+406641.16</f>
        <v>17262773.760000002</v>
      </c>
      <c r="AA7" s="355">
        <v>2443726.9300000002</v>
      </c>
      <c r="AB7" s="355">
        <v>1424630.16</v>
      </c>
      <c r="AC7" s="338">
        <f t="shared" ref="AC7:AC70" si="0">B7-C7-D7+E7-F7+G7-H7+I7-J7+K7-L7+M7-N7+O7-P7+Q7-R7+S7-T7+U7-V7+W7-X7+Y7-Z7+AA7+AB7</f>
        <v>44592577.209999986</v>
      </c>
    </row>
    <row r="8" spans="1:29" x14ac:dyDescent="0.6">
      <c r="A8" s="356" t="s">
        <v>20</v>
      </c>
      <c r="B8" s="353">
        <f>'2013-2014'!AC9+136333.47</f>
        <v>31261120.200000014</v>
      </c>
      <c r="C8" s="353"/>
      <c r="D8" s="353"/>
      <c r="E8" s="338">
        <v>6573208.1100000003</v>
      </c>
      <c r="F8" s="338"/>
      <c r="G8" s="338">
        <v>6200487.29</v>
      </c>
      <c r="H8" s="354">
        <v>25852025.530000001</v>
      </c>
      <c r="I8" s="354">
        <v>485676.27</v>
      </c>
      <c r="J8" s="354"/>
      <c r="K8" s="354">
        <v>6883326.1200000001</v>
      </c>
      <c r="L8" s="354"/>
      <c r="M8" s="354">
        <v>9410848.6300000008</v>
      </c>
      <c r="N8" s="354"/>
      <c r="O8" s="354">
        <v>7753111.6600000001</v>
      </c>
      <c r="P8" s="354"/>
      <c r="Q8" s="354">
        <v>17228117.93</v>
      </c>
      <c r="R8" s="354">
        <v>9188214.6799999997</v>
      </c>
      <c r="S8" s="354">
        <v>14872401.26</v>
      </c>
      <c r="T8" s="355"/>
      <c r="U8" s="355">
        <v>9467185.4199999999</v>
      </c>
      <c r="V8" s="355"/>
      <c r="W8" s="355">
        <v>8960879.5199999996</v>
      </c>
      <c r="X8" s="355">
        <v>35574785</v>
      </c>
      <c r="Y8" s="355">
        <v>9535007.2400000002</v>
      </c>
      <c r="Z8" s="355"/>
      <c r="AA8" s="355">
        <v>7979024.7599999998</v>
      </c>
      <c r="AB8" s="355">
        <v>3165145.24</v>
      </c>
      <c r="AC8" s="338">
        <f t="shared" si="0"/>
        <v>69160514.439999998</v>
      </c>
    </row>
    <row r="9" spans="1:29" x14ac:dyDescent="0.6">
      <c r="A9" s="352" t="s">
        <v>43</v>
      </c>
      <c r="B9" s="353">
        <f>'2013-2014'!AC16</f>
        <v>9197336.6099999975</v>
      </c>
      <c r="C9" s="353"/>
      <c r="D9" s="353"/>
      <c r="E9" s="338">
        <v>0</v>
      </c>
      <c r="F9" s="338"/>
      <c r="G9" s="338">
        <v>0</v>
      </c>
      <c r="H9" s="354"/>
      <c r="I9" s="354">
        <v>0</v>
      </c>
      <c r="J9" s="354"/>
      <c r="K9" s="354">
        <v>0</v>
      </c>
      <c r="L9" s="354"/>
      <c r="M9" s="354">
        <v>0</v>
      </c>
      <c r="N9" s="354"/>
      <c r="O9" s="354">
        <v>0</v>
      </c>
      <c r="P9" s="354"/>
      <c r="Q9" s="354">
        <v>0</v>
      </c>
      <c r="R9" s="354"/>
      <c r="S9" s="354">
        <v>0</v>
      </c>
      <c r="T9" s="355"/>
      <c r="U9" s="355">
        <v>0</v>
      </c>
      <c r="V9" s="355"/>
      <c r="W9" s="355">
        <v>0</v>
      </c>
      <c r="X9" s="355"/>
      <c r="Y9" s="355">
        <v>0</v>
      </c>
      <c r="Z9" s="355"/>
      <c r="AA9" s="355">
        <v>0</v>
      </c>
      <c r="AB9" s="355">
        <v>0</v>
      </c>
      <c r="AC9" s="338">
        <f t="shared" si="0"/>
        <v>9197336.6099999975</v>
      </c>
    </row>
    <row r="10" spans="1:29" x14ac:dyDescent="0.6">
      <c r="A10" s="352" t="s">
        <v>38</v>
      </c>
      <c r="B10" s="353">
        <f>'2013-2014'!AC8</f>
        <v>9063355.1799999997</v>
      </c>
      <c r="C10" s="353">
        <v>0</v>
      </c>
      <c r="D10" s="353"/>
      <c r="E10" s="338">
        <v>850544.58</v>
      </c>
      <c r="F10" s="338">
        <f>1107982.35+1804095.94+1168657.86</f>
        <v>4080736.1500000004</v>
      </c>
      <c r="G10" s="338">
        <v>2452078.9900000002</v>
      </c>
      <c r="H10" s="354">
        <v>1043160.99</v>
      </c>
      <c r="I10" s="354">
        <v>1020347.4</v>
      </c>
      <c r="J10" s="354"/>
      <c r="K10" s="354">
        <v>762269.82</v>
      </c>
      <c r="L10" s="354"/>
      <c r="M10" s="354">
        <v>1167963.04</v>
      </c>
      <c r="N10" s="354"/>
      <c r="O10" s="354">
        <v>999523.74</v>
      </c>
      <c r="P10" s="354">
        <f>1043160.99+1020347.4</f>
        <v>2063508.3900000001</v>
      </c>
      <c r="Q10" s="354">
        <v>3119908</v>
      </c>
      <c r="R10" s="354">
        <v>1167963.04</v>
      </c>
      <c r="S10" s="354">
        <v>1726129.65</v>
      </c>
      <c r="T10" s="355">
        <v>762269.82</v>
      </c>
      <c r="U10" s="355">
        <v>1092175.73</v>
      </c>
      <c r="V10" s="355"/>
      <c r="W10" s="355">
        <v>931425.8</v>
      </c>
      <c r="X10" s="355">
        <f>1227309.4+963300.05+3302623.57</f>
        <v>5493233.0199999996</v>
      </c>
      <c r="Y10" s="355">
        <v>1593954.05</v>
      </c>
      <c r="Z10" s="355"/>
      <c r="AA10" s="355">
        <v>579937.6</v>
      </c>
      <c r="AB10" s="355">
        <v>473273.58</v>
      </c>
      <c r="AC10" s="338">
        <f t="shared" si="0"/>
        <v>11222015.750000002</v>
      </c>
    </row>
    <row r="11" spans="1:29" x14ac:dyDescent="0.6">
      <c r="A11" s="352" t="s">
        <v>31</v>
      </c>
      <c r="B11" s="353">
        <f>'2013-2014'!AC11</f>
        <v>8577999.8999999985</v>
      </c>
      <c r="C11" s="353"/>
      <c r="D11" s="353">
        <f>3287123.48+27752.21+695573.29+15637.61</f>
        <v>4026086.59</v>
      </c>
      <c r="E11" s="338">
        <v>1699782.38</v>
      </c>
      <c r="F11" s="338">
        <f>90169+58316.61+1780467.78</f>
        <v>1928953.3900000001</v>
      </c>
      <c r="G11" s="338">
        <v>1915885.33</v>
      </c>
      <c r="H11" s="354">
        <f>49895.99</f>
        <v>49895.99</v>
      </c>
      <c r="I11" s="354">
        <v>652339.24</v>
      </c>
      <c r="J11" s="354">
        <f>148557.19+26396.98+147345.03</f>
        <v>322299.2</v>
      </c>
      <c r="K11" s="354">
        <v>1652497.5</v>
      </c>
      <c r="L11" s="354">
        <v>48579.97</v>
      </c>
      <c r="M11" s="354">
        <v>2423745.75</v>
      </c>
      <c r="N11" s="354">
        <f>3467716.72+1604993.12</f>
        <v>5072709.84</v>
      </c>
      <c r="O11" s="354">
        <v>1998786.08</v>
      </c>
      <c r="P11" s="354"/>
      <c r="Q11" s="354">
        <v>5107391.8499999996</v>
      </c>
      <c r="R11" s="354">
        <v>2423411.2999999998</v>
      </c>
      <c r="S11" s="354">
        <v>4346026.76</v>
      </c>
      <c r="T11" s="355">
        <f>109803.14+1808316.71+2146152.4</f>
        <v>4064272.25</v>
      </c>
      <c r="U11" s="355">
        <v>3342639.61</v>
      </c>
      <c r="V11" s="355">
        <v>4297045.26</v>
      </c>
      <c r="W11" s="355">
        <v>2833227.62</v>
      </c>
      <c r="X11" s="355"/>
      <c r="Y11" s="355">
        <v>3784785.99</v>
      </c>
      <c r="Z11" s="355">
        <f>30445.17+2374536.59+713982.04+2862190.31</f>
        <v>5981154.1099999994</v>
      </c>
      <c r="AA11" s="355">
        <v>3058988.41</v>
      </c>
      <c r="AB11" s="355">
        <v>1328770.5900000001</v>
      </c>
      <c r="AC11" s="338">
        <f t="shared" si="0"/>
        <v>14508459.110000001</v>
      </c>
    </row>
    <row r="12" spans="1:29" x14ac:dyDescent="0.6">
      <c r="A12" s="352" t="s">
        <v>189</v>
      </c>
      <c r="B12" s="353">
        <f>'2013-2014'!AC13</f>
        <v>8763212.2199999988</v>
      </c>
      <c r="C12" s="353"/>
      <c r="D12" s="353"/>
      <c r="E12" s="338">
        <v>5528</v>
      </c>
      <c r="F12" s="338"/>
      <c r="G12" s="338">
        <v>5528</v>
      </c>
      <c r="H12" s="354"/>
      <c r="I12" s="354">
        <v>-917765.6</v>
      </c>
      <c r="J12" s="354"/>
      <c r="K12" s="354">
        <v>5528</v>
      </c>
      <c r="L12" s="354"/>
      <c r="M12" s="354">
        <v>22535.8</v>
      </c>
      <c r="N12" s="354"/>
      <c r="O12" s="354">
        <v>5528</v>
      </c>
      <c r="P12" s="354"/>
      <c r="Q12" s="354">
        <v>5528</v>
      </c>
      <c r="R12" s="354"/>
      <c r="S12" s="354">
        <v>5528</v>
      </c>
      <c r="T12" s="355"/>
      <c r="U12" s="355">
        <v>5528</v>
      </c>
      <c r="V12" s="355"/>
      <c r="W12" s="355">
        <v>5528</v>
      </c>
      <c r="X12" s="355"/>
      <c r="Y12" s="355">
        <v>5528</v>
      </c>
      <c r="Z12" s="355"/>
      <c r="AA12" s="355">
        <v>5528</v>
      </c>
      <c r="AB12" s="355">
        <v>0</v>
      </c>
      <c r="AC12" s="338">
        <f t="shared" si="0"/>
        <v>7923262.419999999</v>
      </c>
    </row>
    <row r="13" spans="1:29" x14ac:dyDescent="0.6">
      <c r="A13" s="352" t="s">
        <v>34</v>
      </c>
      <c r="B13" s="353">
        <f>'2013-2014'!AC19</f>
        <v>3755005.169999999</v>
      </c>
      <c r="C13" s="353"/>
      <c r="D13" s="353"/>
      <c r="E13" s="338">
        <v>2632416.77</v>
      </c>
      <c r="F13" s="338">
        <v>4169264.21</v>
      </c>
      <c r="G13" s="338">
        <v>2747520.06</v>
      </c>
      <c r="H13" s="354">
        <f>2632416.77</f>
        <v>2632416.77</v>
      </c>
      <c r="I13" s="354">
        <v>1922619.74</v>
      </c>
      <c r="J13" s="354"/>
      <c r="K13" s="354">
        <v>2982125.37</v>
      </c>
      <c r="L13" s="354">
        <v>2747520.06</v>
      </c>
      <c r="M13" s="354">
        <v>3659362.66</v>
      </c>
      <c r="N13" s="354"/>
      <c r="O13" s="354">
        <v>2943141.18</v>
      </c>
      <c r="P13" s="354">
        <v>8460976.2300000004</v>
      </c>
      <c r="Q13" s="354">
        <v>7308735.2300000004</v>
      </c>
      <c r="R13" s="354">
        <v>2912669.03</v>
      </c>
      <c r="S13" s="354">
        <v>5971549.2800000003</v>
      </c>
      <c r="T13" s="355">
        <v>3385154.84</v>
      </c>
      <c r="U13" s="355">
        <v>4050521.39</v>
      </c>
      <c r="V13" s="355"/>
      <c r="W13" s="355">
        <v>3617777.18</v>
      </c>
      <c r="X13" s="355">
        <v>13804953.5</v>
      </c>
      <c r="Y13" s="355">
        <v>3971156.27</v>
      </c>
      <c r="Z13" s="355">
        <f>3551698.4+3898341.08</f>
        <v>7450039.4800000004</v>
      </c>
      <c r="AA13" s="355">
        <v>3113142.32</v>
      </c>
      <c r="AB13" s="355">
        <v>981348.57</v>
      </c>
      <c r="AC13" s="338">
        <f t="shared" si="0"/>
        <v>4093427.0699999994</v>
      </c>
    </row>
    <row r="14" spans="1:29" x14ac:dyDescent="0.6">
      <c r="A14" s="352" t="s">
        <v>30</v>
      </c>
      <c r="B14" s="353">
        <f>'2013-2014'!AC22</f>
        <v>4962358.25</v>
      </c>
      <c r="C14" s="353"/>
      <c r="D14" s="353"/>
      <c r="E14" s="338">
        <v>1800591.35</v>
      </c>
      <c r="F14" s="338"/>
      <c r="G14" s="338">
        <v>2017455.87</v>
      </c>
      <c r="H14" s="354"/>
      <c r="I14" s="354">
        <v>204410.6</v>
      </c>
      <c r="J14" s="354">
        <f>3727041.34</f>
        <v>3727041.34</v>
      </c>
      <c r="K14" s="354">
        <v>1701652.64</v>
      </c>
      <c r="L14" s="354"/>
      <c r="M14" s="354">
        <v>2220842.84</v>
      </c>
      <c r="N14" s="354"/>
      <c r="O14" s="354">
        <v>1727580.71</v>
      </c>
      <c r="P14" s="354">
        <f>3809667.1+183847.36</f>
        <v>3993514.46</v>
      </c>
      <c r="Q14" s="354">
        <v>3894882.01</v>
      </c>
      <c r="R14" s="354"/>
      <c r="S14" s="354">
        <v>3309427.54</v>
      </c>
      <c r="T14" s="355">
        <f>60386+5037008.25+7798629.47</f>
        <v>12896023.719999999</v>
      </c>
      <c r="U14" s="355">
        <v>2529251.54</v>
      </c>
      <c r="V14" s="355"/>
      <c r="W14" s="355">
        <v>2035241.71</v>
      </c>
      <c r="X14" s="355">
        <v>2506035.96</v>
      </c>
      <c r="Y14" s="355">
        <v>2277240.09</v>
      </c>
      <c r="Z14" s="355">
        <f>2012026.13+2256271.18</f>
        <v>4268297.3100000005</v>
      </c>
      <c r="AA14" s="355">
        <v>1756393.57</v>
      </c>
      <c r="AB14" s="355">
        <v>485048.54</v>
      </c>
      <c r="AC14" s="338">
        <f t="shared" si="0"/>
        <v>3531464.4699999988</v>
      </c>
    </row>
    <row r="15" spans="1:29" x14ac:dyDescent="0.6">
      <c r="A15" s="352" t="s">
        <v>86</v>
      </c>
      <c r="B15" s="353">
        <f>'2013-2014'!AC25</f>
        <v>5400987.0500000007</v>
      </c>
      <c r="C15" s="353"/>
      <c r="D15" s="353"/>
      <c r="E15" s="338">
        <v>477061.65</v>
      </c>
      <c r="F15" s="338"/>
      <c r="G15" s="338">
        <v>148503.76</v>
      </c>
      <c r="H15" s="354"/>
      <c r="I15" s="354">
        <v>-584324.57999999996</v>
      </c>
      <c r="J15" s="354"/>
      <c r="K15" s="354">
        <v>129301.11</v>
      </c>
      <c r="L15" s="354">
        <v>714255.67</v>
      </c>
      <c r="M15" s="354">
        <v>129301.11</v>
      </c>
      <c r="N15" s="354"/>
      <c r="O15" s="354">
        <v>119821.66</v>
      </c>
      <c r="P15" s="354"/>
      <c r="Q15" s="354">
        <v>127856.83</v>
      </c>
      <c r="R15" s="354"/>
      <c r="S15" s="354">
        <v>86838.46</v>
      </c>
      <c r="T15" s="355"/>
      <c r="U15" s="355">
        <v>81033.58</v>
      </c>
      <c r="V15" s="355"/>
      <c r="W15" s="355">
        <v>71159.509999999995</v>
      </c>
      <c r="X15" s="355"/>
      <c r="Y15" s="355">
        <v>59419.8</v>
      </c>
      <c r="Z15" s="355">
        <f>1569005.2+1084801.54+1105608.98</f>
        <v>3759415.72</v>
      </c>
      <c r="AA15" s="355">
        <v>50685.91</v>
      </c>
      <c r="AB15" s="355">
        <v>12112.34</v>
      </c>
      <c r="AC15" s="338">
        <f t="shared" si="0"/>
        <v>1836086.8000000012</v>
      </c>
    </row>
    <row r="16" spans="1:29" x14ac:dyDescent="0.6">
      <c r="A16" s="352" t="s">
        <v>334</v>
      </c>
      <c r="B16" s="353">
        <f>'2013-2014'!AC17</f>
        <v>3703334.1299999985</v>
      </c>
      <c r="C16" s="353"/>
      <c r="D16" s="353">
        <v>718695.59</v>
      </c>
      <c r="E16" s="338">
        <v>535237.94999999995</v>
      </c>
      <c r="F16" s="338"/>
      <c r="G16" s="338">
        <v>481546</v>
      </c>
      <c r="H16" s="354"/>
      <c r="I16" s="354">
        <v>-260724</v>
      </c>
      <c r="J16" s="354"/>
      <c r="K16" s="354">
        <v>48089</v>
      </c>
      <c r="L16" s="354"/>
      <c r="M16" s="354">
        <v>36117</v>
      </c>
      <c r="N16" s="354"/>
      <c r="O16" s="354">
        <v>16447</v>
      </c>
      <c r="P16" s="354"/>
      <c r="Q16" s="354">
        <v>17822.5</v>
      </c>
      <c r="R16" s="354"/>
      <c r="S16" s="354">
        <v>8749</v>
      </c>
      <c r="T16" s="355"/>
      <c r="U16" s="355">
        <v>8749</v>
      </c>
      <c r="V16" s="355"/>
      <c r="W16" s="355">
        <v>8749</v>
      </c>
      <c r="X16" s="355"/>
      <c r="Y16" s="355">
        <v>8749</v>
      </c>
      <c r="Z16" s="355"/>
      <c r="AA16" s="355">
        <v>8749</v>
      </c>
      <c r="AB16" s="355">
        <v>0</v>
      </c>
      <c r="AC16" s="338">
        <f t="shared" si="0"/>
        <v>3902918.9899999984</v>
      </c>
    </row>
    <row r="17" spans="1:31" x14ac:dyDescent="0.6">
      <c r="A17" s="352" t="s">
        <v>41</v>
      </c>
      <c r="B17" s="353">
        <f>'2013-2014'!AC14</f>
        <v>3930732.0099999984</v>
      </c>
      <c r="C17" s="353"/>
      <c r="D17" s="353"/>
      <c r="E17" s="338">
        <v>1672938.55</v>
      </c>
      <c r="F17" s="338"/>
      <c r="G17" s="338">
        <v>1287959.29</v>
      </c>
      <c r="H17" s="354">
        <f>3464389.74+1260384.98</f>
        <v>4724774.7200000007</v>
      </c>
      <c r="I17" s="354">
        <v>233127.24</v>
      </c>
      <c r="J17" s="354"/>
      <c r="K17" s="354">
        <v>1225282.78</v>
      </c>
      <c r="L17" s="354"/>
      <c r="M17" s="354">
        <v>1389450.23</v>
      </c>
      <c r="N17" s="354">
        <v>1743112.94</v>
      </c>
      <c r="O17" s="354">
        <v>1302338.75</v>
      </c>
      <c r="P17" s="354">
        <v>1178747</v>
      </c>
      <c r="Q17" s="354">
        <v>4037210.28</v>
      </c>
      <c r="R17" s="354">
        <v>1198907.55</v>
      </c>
      <c r="S17" s="354">
        <v>2982938.17</v>
      </c>
      <c r="T17" s="355"/>
      <c r="U17" s="355">
        <v>1641515.68</v>
      </c>
      <c r="V17" s="355">
        <f>6971214</f>
        <v>6971214</v>
      </c>
      <c r="W17" s="355">
        <v>1469812.59</v>
      </c>
      <c r="X17" s="355">
        <v>1624559.18</v>
      </c>
      <c r="Y17" s="355">
        <v>1614996.73</v>
      </c>
      <c r="Z17" s="355">
        <f>416+1174430.13+293861.46+419518.63+1614.4+1162217.57</f>
        <v>3052058.1899999995</v>
      </c>
      <c r="AA17" s="355">
        <v>1151670.94</v>
      </c>
      <c r="AB17" s="355">
        <v>398995.13</v>
      </c>
      <c r="AC17" s="338">
        <f t="shared" si="0"/>
        <v>3845594.7900000005</v>
      </c>
    </row>
    <row r="18" spans="1:31" x14ac:dyDescent="0.6">
      <c r="A18" s="352" t="s">
        <v>26</v>
      </c>
      <c r="B18" s="353">
        <f>'2013-2014'!AC18</f>
        <v>22786519.590000004</v>
      </c>
      <c r="C18" s="353"/>
      <c r="D18" s="353">
        <v>3792587.44</v>
      </c>
      <c r="E18" s="338">
        <v>3095755.41</v>
      </c>
      <c r="F18" s="338">
        <v>9372216.3200000003</v>
      </c>
      <c r="G18" s="338">
        <v>2936279.11</v>
      </c>
      <c r="H18" s="354"/>
      <c r="I18" s="354">
        <v>522640.14</v>
      </c>
      <c r="J18" s="354">
        <f>9621715.83</f>
        <v>9621715.8300000001</v>
      </c>
      <c r="K18" s="354">
        <v>2898300.12</v>
      </c>
      <c r="L18" s="354">
        <f>3095755.41+2936279.11</f>
        <v>6032034.5199999996</v>
      </c>
      <c r="M18" s="354">
        <v>3790077.06</v>
      </c>
      <c r="N18" s="354">
        <v>7211017.3200000003</v>
      </c>
      <c r="O18" s="354">
        <v>3169122.53</v>
      </c>
      <c r="P18" s="354"/>
      <c r="Q18" s="354">
        <v>7820086.3499999996</v>
      </c>
      <c r="R18" s="354"/>
      <c r="S18" s="354">
        <v>7049245.0899999999</v>
      </c>
      <c r="T18" s="355">
        <f>3169122.53+7820086.35</f>
        <v>10989208.879999999</v>
      </c>
      <c r="U18" s="355">
        <v>3928239.88</v>
      </c>
      <c r="V18" s="355">
        <f>7049245.09</f>
        <v>7049245.0899999999</v>
      </c>
      <c r="W18" s="355">
        <v>3584925.74</v>
      </c>
      <c r="X18" s="355"/>
      <c r="Y18" s="355">
        <v>4234109.51</v>
      </c>
      <c r="Z18" s="355">
        <v>3584925.74</v>
      </c>
      <c r="AA18" s="355">
        <v>3249200.5</v>
      </c>
      <c r="AB18" s="355">
        <v>1089071.29</v>
      </c>
      <c r="AC18" s="338">
        <f t="shared" si="0"/>
        <v>12500621.18</v>
      </c>
    </row>
    <row r="19" spans="1:31" x14ac:dyDescent="0.6">
      <c r="A19" s="352" t="s">
        <v>36</v>
      </c>
      <c r="B19" s="353">
        <f>'2013-2014'!AC36</f>
        <v>4987924.18</v>
      </c>
      <c r="C19" s="353">
        <v>0</v>
      </c>
      <c r="D19" s="353">
        <v>707581.72</v>
      </c>
      <c r="E19" s="338">
        <v>755269.34</v>
      </c>
      <c r="F19" s="338">
        <v>755269.34</v>
      </c>
      <c r="G19" s="338">
        <v>662554.73</v>
      </c>
      <c r="H19" s="354">
        <v>662554.73</v>
      </c>
      <c r="I19" s="354">
        <v>-1582814.62</v>
      </c>
      <c r="J19" s="354"/>
      <c r="K19" s="354">
        <v>678271.31</v>
      </c>
      <c r="L19" s="354"/>
      <c r="M19" s="354">
        <v>1437421.99</v>
      </c>
      <c r="N19" s="354"/>
      <c r="O19" s="354">
        <v>772061.58</v>
      </c>
      <c r="P19" s="354"/>
      <c r="Q19" s="354">
        <v>2200478.11</v>
      </c>
      <c r="R19" s="354">
        <v>772061.58</v>
      </c>
      <c r="S19" s="354">
        <v>1708723.52</v>
      </c>
      <c r="T19" s="355"/>
      <c r="U19" s="355">
        <v>1040657.82</v>
      </c>
      <c r="V19" s="355"/>
      <c r="W19" s="355">
        <v>959018.36</v>
      </c>
      <c r="X19" s="355">
        <v>959018.36</v>
      </c>
      <c r="Y19" s="355">
        <v>934276.1</v>
      </c>
      <c r="Z19" s="355"/>
      <c r="AA19" s="355">
        <v>561249.81999999995</v>
      </c>
      <c r="AB19" s="355">
        <v>322511.96999999997</v>
      </c>
      <c r="AC19" s="338">
        <f t="shared" si="0"/>
        <v>11581118.479999999</v>
      </c>
    </row>
    <row r="20" spans="1:31" x14ac:dyDescent="0.6">
      <c r="A20" s="352" t="s">
        <v>23</v>
      </c>
      <c r="B20" s="353">
        <f>'2013-2014'!AC7</f>
        <v>11180994</v>
      </c>
      <c r="C20" s="353">
        <v>0</v>
      </c>
      <c r="D20" s="353"/>
      <c r="E20" s="338">
        <v>6632494.1200000001</v>
      </c>
      <c r="F20" s="338">
        <v>7978126.7699999996</v>
      </c>
      <c r="G20" s="338">
        <v>7732314.04</v>
      </c>
      <c r="H20" s="354">
        <v>6468215.9900000002</v>
      </c>
      <c r="I20" s="354">
        <v>-3539818.87</v>
      </c>
      <c r="J20" s="354">
        <v>7726880.6600000001</v>
      </c>
      <c r="K20" s="354">
        <v>6713516.5300000003</v>
      </c>
      <c r="L20" s="354"/>
      <c r="M20" s="354">
        <v>8765868.3300000001</v>
      </c>
      <c r="N20" s="354"/>
      <c r="O20" s="354">
        <v>7926791.5700000003</v>
      </c>
      <c r="P20" s="354">
        <f>15468518.1+4496968.85</f>
        <v>19965486.949999999</v>
      </c>
      <c r="Q20" s="354">
        <v>12784412.699999999</v>
      </c>
      <c r="R20" s="354">
        <v>7921533.46</v>
      </c>
      <c r="S20" s="354">
        <v>5767921.0700000003</v>
      </c>
      <c r="T20" s="355"/>
      <c r="U20" s="355">
        <v>8376756.4800000004</v>
      </c>
      <c r="V20" s="355">
        <v>12728670.85</v>
      </c>
      <c r="W20" s="355">
        <v>7866419.7300000004</v>
      </c>
      <c r="X20" s="355">
        <f>8371323.1+6232724.3</f>
        <v>14604047.399999999</v>
      </c>
      <c r="Y20" s="355">
        <v>7888031.6500000004</v>
      </c>
      <c r="Z20" s="355">
        <f>8111887.83+7609797.91</f>
        <v>15721685.74</v>
      </c>
      <c r="AA20" s="355">
        <v>4658101.18</v>
      </c>
      <c r="AB20" s="355">
        <v>3087308.95</v>
      </c>
      <c r="AC20" s="338">
        <f t="shared" si="0"/>
        <v>2726463.6600000048</v>
      </c>
    </row>
    <row r="21" spans="1:31" x14ac:dyDescent="0.6">
      <c r="A21" s="352" t="s">
        <v>21</v>
      </c>
      <c r="B21" s="353">
        <f>'2013-2014'!AC10</f>
        <v>8203430.259999997</v>
      </c>
      <c r="C21" s="353">
        <v>0</v>
      </c>
      <c r="D21" s="353">
        <v>2364187.9700000002</v>
      </c>
      <c r="E21" s="338">
        <v>1772741.03</v>
      </c>
      <c r="F21" s="338">
        <v>0</v>
      </c>
      <c r="G21" s="338">
        <v>1971980.73</v>
      </c>
      <c r="H21" s="354">
        <f>2441723.43+1765956.52</f>
        <v>4207679.95</v>
      </c>
      <c r="I21" s="354">
        <v>758077.63</v>
      </c>
      <c r="J21" s="354">
        <v>1971980.73</v>
      </c>
      <c r="K21" s="354">
        <v>1757671.69</v>
      </c>
      <c r="L21" s="354"/>
      <c r="M21" s="354">
        <v>2882437.62</v>
      </c>
      <c r="N21" s="354"/>
      <c r="O21" s="354">
        <v>2492031.4500000002</v>
      </c>
      <c r="P21" s="354"/>
      <c r="Q21" s="354">
        <v>5108100.7300000004</v>
      </c>
      <c r="R21" s="354"/>
      <c r="S21" s="354">
        <v>3954813.35</v>
      </c>
      <c r="T21" s="355"/>
      <c r="U21" s="355">
        <v>2796046.92</v>
      </c>
      <c r="V21" s="355">
        <v>8842272.0099999998</v>
      </c>
      <c r="W21" s="355">
        <v>2790265.3</v>
      </c>
      <c r="X21" s="355"/>
      <c r="Y21" s="355">
        <v>2609999.89</v>
      </c>
      <c r="Z21" s="355">
        <v>2715913.55</v>
      </c>
      <c r="AA21" s="355">
        <v>1796754.98</v>
      </c>
      <c r="AB21" s="355">
        <v>873743.07</v>
      </c>
      <c r="AC21" s="338">
        <f t="shared" si="0"/>
        <v>19666060.439999998</v>
      </c>
    </row>
    <row r="22" spans="1:31" x14ac:dyDescent="0.6">
      <c r="A22" s="352" t="s">
        <v>185</v>
      </c>
      <c r="B22" s="353">
        <f>'2013-2014'!AC39</f>
        <v>1465793.6399999994</v>
      </c>
      <c r="C22" s="353"/>
      <c r="D22" s="353">
        <v>704906</v>
      </c>
      <c r="E22" s="338">
        <v>426479.96</v>
      </c>
      <c r="F22" s="338"/>
      <c r="G22" s="338">
        <v>405863.09</v>
      </c>
      <c r="H22" s="354"/>
      <c r="I22" s="354">
        <v>403720.1</v>
      </c>
      <c r="J22" s="354"/>
      <c r="K22" s="354">
        <v>405863.09</v>
      </c>
      <c r="L22" s="354"/>
      <c r="M22" s="354">
        <v>405863.09</v>
      </c>
      <c r="N22" s="354">
        <f>1106358.12+413417.33</f>
        <v>1519775.4500000002</v>
      </c>
      <c r="O22" s="354">
        <v>403720.1</v>
      </c>
      <c r="P22" s="354">
        <f>405863.09+403720.1+405863.09</f>
        <v>1215446.28</v>
      </c>
      <c r="Q22" s="354">
        <v>1584743.67</v>
      </c>
      <c r="R22" s="354">
        <v>403720.1</v>
      </c>
      <c r="S22" s="354">
        <v>1229166.6599999999</v>
      </c>
      <c r="T22" s="355">
        <v>1584743.67</v>
      </c>
      <c r="U22" s="355">
        <v>738546.76</v>
      </c>
      <c r="V22" s="355"/>
      <c r="W22" s="355">
        <v>1099457.96</v>
      </c>
      <c r="X22" s="355">
        <f>1229166.66+738546.76</f>
        <v>1967713.42</v>
      </c>
      <c r="Y22" s="355">
        <v>630081.46</v>
      </c>
      <c r="Z22" s="355">
        <f>624114.05+628773.96</f>
        <v>1252888.01</v>
      </c>
      <c r="AA22" s="355">
        <v>400595.49</v>
      </c>
      <c r="AB22" s="355">
        <v>250581.01</v>
      </c>
      <c r="AC22" s="338">
        <f t="shared" si="0"/>
        <v>1201283.1499999992</v>
      </c>
    </row>
    <row r="23" spans="1:31" x14ac:dyDescent="0.6">
      <c r="A23" s="352" t="s">
        <v>89</v>
      </c>
      <c r="B23" s="353">
        <v>2495509.23</v>
      </c>
      <c r="C23" s="353"/>
      <c r="D23" s="353">
        <f>947559+568289.03</f>
        <v>1515848.03</v>
      </c>
      <c r="E23" s="338">
        <v>774229.47</v>
      </c>
      <c r="F23" s="338"/>
      <c r="G23" s="338">
        <v>253129</v>
      </c>
      <c r="H23" s="354"/>
      <c r="I23" s="354">
        <v>-167247</v>
      </c>
      <c r="J23" s="354"/>
      <c r="K23" s="354">
        <v>45498</v>
      </c>
      <c r="L23" s="354"/>
      <c r="M23" s="354">
        <v>45498</v>
      </c>
      <c r="N23" s="354"/>
      <c r="O23" s="354">
        <v>45498</v>
      </c>
      <c r="P23" s="354"/>
      <c r="Q23" s="354">
        <v>74010.55</v>
      </c>
      <c r="R23" s="354"/>
      <c r="S23" s="354">
        <v>45498</v>
      </c>
      <c r="T23" s="355">
        <v>411026</v>
      </c>
      <c r="U23" s="355">
        <v>45498</v>
      </c>
      <c r="V23" s="355"/>
      <c r="W23" s="355">
        <v>45498</v>
      </c>
      <c r="X23" s="355"/>
      <c r="Y23" s="355">
        <v>45922</v>
      </c>
      <c r="Z23" s="355"/>
      <c r="AA23" s="355">
        <v>37800</v>
      </c>
      <c r="AB23" s="355">
        <v>0</v>
      </c>
      <c r="AC23" s="338">
        <f t="shared" si="0"/>
        <v>1859467.22</v>
      </c>
    </row>
    <row r="24" spans="1:31" x14ac:dyDescent="0.6">
      <c r="A24" s="352" t="s">
        <v>308</v>
      </c>
      <c r="B24" s="353">
        <f>'2013-2014'!AC15</f>
        <v>1541603.39</v>
      </c>
      <c r="C24" s="353"/>
      <c r="D24" s="353"/>
      <c r="E24" s="338">
        <v>181924.95</v>
      </c>
      <c r="F24" s="338"/>
      <c r="G24" s="338">
        <v>172869.86</v>
      </c>
      <c r="H24" s="354"/>
      <c r="I24" s="354">
        <v>159887.57999999999</v>
      </c>
      <c r="J24" s="354"/>
      <c r="K24" s="354">
        <v>160141.20000000001</v>
      </c>
      <c r="L24" s="354"/>
      <c r="M24" s="354">
        <v>168506.62</v>
      </c>
      <c r="N24" s="354"/>
      <c r="O24" s="354">
        <v>160266</v>
      </c>
      <c r="P24" s="354"/>
      <c r="Q24" s="354">
        <v>444035.15</v>
      </c>
      <c r="R24" s="354">
        <f>320475.78+1723528.34</f>
        <v>2044004.12</v>
      </c>
      <c r="S24" s="354">
        <v>494216.88</v>
      </c>
      <c r="T24" s="355"/>
      <c r="U24" s="355">
        <v>380842.06</v>
      </c>
      <c r="V24" s="355"/>
      <c r="W24" s="355">
        <v>351723.28</v>
      </c>
      <c r="X24" s="355"/>
      <c r="Y24" s="355">
        <v>430907.03</v>
      </c>
      <c r="Z24" s="355">
        <v>1999589.99</v>
      </c>
      <c r="AA24" s="355">
        <v>405339</v>
      </c>
      <c r="AB24" s="355">
        <v>110335.91</v>
      </c>
      <c r="AC24" s="338">
        <f t="shared" si="0"/>
        <v>1119004.7999999998</v>
      </c>
    </row>
    <row r="25" spans="1:31" x14ac:dyDescent="0.6">
      <c r="A25" s="352" t="s">
        <v>196</v>
      </c>
      <c r="B25" s="353">
        <f>'2013-2014'!AC24</f>
        <v>2061836.3199999998</v>
      </c>
      <c r="C25" s="353"/>
      <c r="D25" s="353"/>
      <c r="E25" s="338">
        <v>14861.24</v>
      </c>
      <c r="F25" s="338"/>
      <c r="G25" s="338">
        <v>14253.48</v>
      </c>
      <c r="H25" s="354"/>
      <c r="I25" s="354">
        <v>7586.52</v>
      </c>
      <c r="J25" s="354"/>
      <c r="K25" s="354">
        <v>7126.74</v>
      </c>
      <c r="L25" s="354"/>
      <c r="M25" s="354">
        <v>7126.74</v>
      </c>
      <c r="N25" s="354"/>
      <c r="O25" s="354">
        <v>6896.84</v>
      </c>
      <c r="P25" s="354"/>
      <c r="Q25" s="354">
        <v>229.89</v>
      </c>
      <c r="R25" s="354"/>
      <c r="S25" s="354">
        <v>0</v>
      </c>
      <c r="T25" s="355"/>
      <c r="U25" s="355">
        <v>0</v>
      </c>
      <c r="V25" s="355"/>
      <c r="W25" s="355">
        <v>0</v>
      </c>
      <c r="X25" s="355"/>
      <c r="Y25" s="355">
        <v>0</v>
      </c>
      <c r="Z25" s="355"/>
      <c r="AA25" s="355">
        <v>0</v>
      </c>
      <c r="AB25" s="355">
        <v>0</v>
      </c>
      <c r="AC25" s="338">
        <f t="shared" si="0"/>
        <v>2119917.77</v>
      </c>
      <c r="AE25" s="357"/>
    </row>
    <row r="26" spans="1:31" x14ac:dyDescent="0.6">
      <c r="A26" s="352" t="s">
        <v>85</v>
      </c>
      <c r="B26" s="353">
        <f>'2013-2014'!AC72</f>
        <v>1559223.42</v>
      </c>
      <c r="C26" s="353"/>
      <c r="D26" s="353"/>
      <c r="E26" s="338">
        <v>44073</v>
      </c>
      <c r="F26" s="338"/>
      <c r="G26" s="338">
        <v>44073</v>
      </c>
      <c r="H26" s="354"/>
      <c r="I26" s="354">
        <v>44073</v>
      </c>
      <c r="J26" s="354"/>
      <c r="K26" s="354">
        <v>44073</v>
      </c>
      <c r="L26" s="354"/>
      <c r="M26" s="354">
        <v>113942.51</v>
      </c>
      <c r="N26" s="354"/>
      <c r="O26" s="354">
        <v>39083.1</v>
      </c>
      <c r="P26" s="354"/>
      <c r="Q26" s="354">
        <v>39486.97</v>
      </c>
      <c r="R26" s="354"/>
      <c r="S26" s="354">
        <v>42237.84</v>
      </c>
      <c r="T26" s="355"/>
      <c r="U26" s="355">
        <v>39605.97</v>
      </c>
      <c r="V26" s="355"/>
      <c r="W26" s="355">
        <v>39486.97</v>
      </c>
      <c r="X26" s="355"/>
      <c r="Y26" s="355">
        <v>38275.360000000001</v>
      </c>
      <c r="Z26" s="355"/>
      <c r="AA26" s="355">
        <v>35448.269999999997</v>
      </c>
      <c r="AB26" s="355">
        <v>4038.7</v>
      </c>
      <c r="AC26" s="338">
        <f t="shared" si="0"/>
        <v>2127121.1100000003</v>
      </c>
    </row>
    <row r="27" spans="1:31" x14ac:dyDescent="0.6">
      <c r="A27" s="352" t="s">
        <v>37</v>
      </c>
      <c r="B27" s="353">
        <f>'2013-2014'!AC27</f>
        <v>3654273.4200000009</v>
      </c>
      <c r="C27" s="353"/>
      <c r="D27" s="353">
        <f>194967.14+371790.86</f>
        <v>566758</v>
      </c>
      <c r="E27" s="338">
        <v>409465.65</v>
      </c>
      <c r="F27" s="338">
        <f>461999.22+545917.05</f>
        <v>1007916.27</v>
      </c>
      <c r="G27" s="338">
        <v>792613.38</v>
      </c>
      <c r="H27" s="354">
        <f>452571.85</f>
        <v>452571.85</v>
      </c>
      <c r="I27" s="354">
        <v>28035.4</v>
      </c>
      <c r="J27" s="354">
        <f>539758.04+434627.12+677307.23</f>
        <v>1651692.3900000001</v>
      </c>
      <c r="K27" s="354">
        <v>471527.31</v>
      </c>
      <c r="L27" s="354"/>
      <c r="M27" s="354">
        <v>584113.38</v>
      </c>
      <c r="N27" s="354"/>
      <c r="O27" s="354">
        <v>540466.98</v>
      </c>
      <c r="P27" s="354"/>
      <c r="Q27" s="354">
        <v>1193392.93</v>
      </c>
      <c r="R27" s="354">
        <v>820648.78</v>
      </c>
      <c r="S27" s="354">
        <v>1111565.46</v>
      </c>
      <c r="T27" s="355"/>
      <c r="U27" s="355">
        <v>1039501.59</v>
      </c>
      <c r="V27" s="355">
        <v>471527.31</v>
      </c>
      <c r="W27" s="355">
        <v>699915.54</v>
      </c>
      <c r="X27" s="355"/>
      <c r="Y27" s="355">
        <v>709680.2</v>
      </c>
      <c r="Z27" s="355">
        <f>4054140.18+1824495.9</f>
        <v>5878636.0800000001</v>
      </c>
      <c r="AA27" s="355">
        <v>469099.38</v>
      </c>
      <c r="AB27" s="355">
        <v>258312.22</v>
      </c>
      <c r="AC27" s="338">
        <f t="shared" si="0"/>
        <v>1112212.1600000006</v>
      </c>
    </row>
    <row r="28" spans="1:31" x14ac:dyDescent="0.6">
      <c r="A28" s="352" t="s">
        <v>28</v>
      </c>
      <c r="B28" s="353">
        <f>'2013-2014'!AC26</f>
        <v>1205424.47</v>
      </c>
      <c r="C28" s="353"/>
      <c r="D28" s="353"/>
      <c r="E28" s="338">
        <v>200879.78</v>
      </c>
      <c r="F28" s="338">
        <v>437985.53</v>
      </c>
      <c r="G28" s="338">
        <v>266076.49</v>
      </c>
      <c r="H28" s="354"/>
      <c r="I28" s="354">
        <v>36235.230000000003</v>
      </c>
      <c r="J28" s="354"/>
      <c r="K28" s="354">
        <v>180297.24</v>
      </c>
      <c r="L28" s="354"/>
      <c r="M28" s="354">
        <v>246892.79</v>
      </c>
      <c r="N28" s="354">
        <v>179407.9</v>
      </c>
      <c r="O28" s="354">
        <v>307196.13</v>
      </c>
      <c r="P28" s="354">
        <v>518987.5</v>
      </c>
      <c r="Q28" s="354">
        <v>652887.66</v>
      </c>
      <c r="R28" s="354">
        <v>665619.28</v>
      </c>
      <c r="S28" s="354">
        <v>527904.9</v>
      </c>
      <c r="T28" s="355">
        <v>163779.20000000001</v>
      </c>
      <c r="U28" s="355">
        <v>318240.33</v>
      </c>
      <c r="V28" s="355"/>
      <c r="W28" s="355">
        <v>261086.37</v>
      </c>
      <c r="X28" s="355">
        <v>350199.47</v>
      </c>
      <c r="Y28" s="355">
        <v>274277.88</v>
      </c>
      <c r="Z28" s="355">
        <f>154179.87+98614.19+123701.92</f>
        <v>376495.98</v>
      </c>
      <c r="AA28" s="355">
        <v>132405.9</v>
      </c>
      <c r="AB28" s="355">
        <v>109565.62</v>
      </c>
      <c r="AC28" s="338">
        <f t="shared" si="0"/>
        <v>2026895.9300000006</v>
      </c>
      <c r="AE28" s="344"/>
    </row>
    <row r="29" spans="1:31" x14ac:dyDescent="0.6">
      <c r="A29" s="352" t="s">
        <v>91</v>
      </c>
      <c r="B29" s="353">
        <f>'2013-2014'!AC56</f>
        <v>1334022.8000000003</v>
      </c>
      <c r="C29" s="353"/>
      <c r="D29" s="353"/>
      <c r="E29" s="338">
        <v>407624</v>
      </c>
      <c r="F29" s="338"/>
      <c r="G29" s="338">
        <v>7076</v>
      </c>
      <c r="H29" s="354"/>
      <c r="I29" s="354">
        <v>7076</v>
      </c>
      <c r="J29" s="354">
        <v>497426.21</v>
      </c>
      <c r="K29" s="354">
        <v>7076</v>
      </c>
      <c r="L29" s="354"/>
      <c r="M29" s="354">
        <v>7076</v>
      </c>
      <c r="N29" s="354"/>
      <c r="O29" s="354">
        <v>0</v>
      </c>
      <c r="P29" s="354"/>
      <c r="Q29" s="354">
        <v>0</v>
      </c>
      <c r="R29" s="354"/>
      <c r="S29" s="354">
        <v>0</v>
      </c>
      <c r="T29" s="355"/>
      <c r="U29" s="355">
        <v>0</v>
      </c>
      <c r="V29" s="355"/>
      <c r="W29" s="355">
        <v>0</v>
      </c>
      <c r="X29" s="355"/>
      <c r="Y29" s="355">
        <v>0</v>
      </c>
      <c r="Z29" s="355"/>
      <c r="AA29" s="355">
        <v>0</v>
      </c>
      <c r="AB29" s="355">
        <v>0</v>
      </c>
      <c r="AC29" s="338">
        <f t="shared" si="0"/>
        <v>1272524.5900000003</v>
      </c>
    </row>
    <row r="30" spans="1:31" x14ac:dyDescent="0.6">
      <c r="A30" s="352" t="s">
        <v>57</v>
      </c>
      <c r="B30" s="353">
        <f>'2013-2014'!AC47</f>
        <v>991887.88</v>
      </c>
      <c r="C30" s="353">
        <v>0</v>
      </c>
      <c r="D30" s="353">
        <v>749462.88</v>
      </c>
      <c r="E30" s="338">
        <v>533340.93999999994</v>
      </c>
      <c r="F30" s="338">
        <v>527887.93999999994</v>
      </c>
      <c r="G30" s="338">
        <v>560604.86</v>
      </c>
      <c r="H30" s="354">
        <v>529577.86</v>
      </c>
      <c r="I30" s="354">
        <v>484095</v>
      </c>
      <c r="J30" s="354"/>
      <c r="K30" s="354">
        <v>509755.87</v>
      </c>
      <c r="L30" s="354"/>
      <c r="M30" s="354">
        <v>540927.9</v>
      </c>
      <c r="N30" s="354">
        <f>993850.87+509553.6</f>
        <v>1503404.47</v>
      </c>
      <c r="O30" s="354">
        <v>36892.85</v>
      </c>
      <c r="P30" s="354"/>
      <c r="Q30" s="354">
        <v>1814562.11</v>
      </c>
      <c r="R30" s="354">
        <v>36892.85</v>
      </c>
      <c r="S30" s="354">
        <v>1131066.76</v>
      </c>
      <c r="T30" s="355">
        <f>1813386.47+1131066.76</f>
        <v>2944453.23</v>
      </c>
      <c r="U30" s="355">
        <v>713674.14</v>
      </c>
      <c r="V30" s="355">
        <v>713674.14</v>
      </c>
      <c r="W30" s="355">
        <v>688005.86</v>
      </c>
      <c r="X30" s="355">
        <v>688005.86</v>
      </c>
      <c r="Y30" s="355">
        <v>700766.16</v>
      </c>
      <c r="Z30" s="355">
        <f>700766.16</f>
        <v>700766.16</v>
      </c>
      <c r="AA30" s="355">
        <v>483553.49</v>
      </c>
      <c r="AB30" s="355">
        <v>171396.17</v>
      </c>
      <c r="AC30" s="338">
        <f t="shared" si="0"/>
        <v>966404.6</v>
      </c>
    </row>
    <row r="31" spans="1:31" x14ac:dyDescent="0.6">
      <c r="A31" s="352" t="s">
        <v>53</v>
      </c>
      <c r="B31" s="353">
        <f>'2013-2014'!AC34</f>
        <v>2170165.3999999994</v>
      </c>
      <c r="C31" s="353">
        <v>0</v>
      </c>
      <c r="D31" s="353">
        <v>1091834.3999999999</v>
      </c>
      <c r="E31" s="338">
        <v>718934.59</v>
      </c>
      <c r="F31" s="338"/>
      <c r="G31" s="338">
        <v>144858.42000000001</v>
      </c>
      <c r="H31" s="354"/>
      <c r="I31" s="354">
        <v>78082.38</v>
      </c>
      <c r="J31" s="354">
        <v>1014942.23</v>
      </c>
      <c r="K31" s="354">
        <v>138438.04</v>
      </c>
      <c r="L31" s="354"/>
      <c r="M31" s="354">
        <v>132528.42000000001</v>
      </c>
      <c r="N31" s="354"/>
      <c r="O31" s="354">
        <v>107729.77</v>
      </c>
      <c r="P31" s="354"/>
      <c r="Q31" s="354">
        <v>95714.54</v>
      </c>
      <c r="R31" s="354"/>
      <c r="S31" s="354">
        <v>97398.85</v>
      </c>
      <c r="T31" s="355"/>
      <c r="U31" s="355">
        <v>98558.46</v>
      </c>
      <c r="V31" s="355"/>
      <c r="W31" s="355">
        <v>98558.46</v>
      </c>
      <c r="X31" s="355"/>
      <c r="Y31" s="355">
        <v>94894.99</v>
      </c>
      <c r="Z31" s="355"/>
      <c r="AA31" s="355">
        <v>74739.14</v>
      </c>
      <c r="AB31" s="355">
        <v>5357.4</v>
      </c>
      <c r="AC31" s="338">
        <f t="shared" si="0"/>
        <v>1949182.2299999991</v>
      </c>
    </row>
    <row r="32" spans="1:31" x14ac:dyDescent="0.6">
      <c r="A32" s="352" t="s">
        <v>65</v>
      </c>
      <c r="B32" s="353">
        <f>'2013-2014'!AC29</f>
        <v>1506806.06</v>
      </c>
      <c r="C32" s="353"/>
      <c r="D32" s="353">
        <f>228158.42+92366.4</f>
        <v>320524.82</v>
      </c>
      <c r="E32" s="338">
        <v>72725.7</v>
      </c>
      <c r="F32" s="338">
        <f>93169.64</f>
        <v>93169.64</v>
      </c>
      <c r="G32" s="338">
        <v>81672.210000000006</v>
      </c>
      <c r="H32" s="354">
        <f>123686.93+72725.7</f>
        <v>196412.63</v>
      </c>
      <c r="I32" s="354">
        <v>75730.559999999998</v>
      </c>
      <c r="J32" s="354">
        <f>81672.21</f>
        <v>81672.210000000006</v>
      </c>
      <c r="K32" s="354">
        <v>72121.77</v>
      </c>
      <c r="L32" s="354"/>
      <c r="M32" s="354">
        <v>127605.82</v>
      </c>
      <c r="N32" s="354"/>
      <c r="O32" s="354">
        <v>85865.59</v>
      </c>
      <c r="P32" s="354">
        <f>139361.9</f>
        <v>139361.9</v>
      </c>
      <c r="Q32" s="354">
        <v>131176.03</v>
      </c>
      <c r="R32" s="354">
        <v>125633.29</v>
      </c>
      <c r="S32" s="354">
        <v>118810.03</v>
      </c>
      <c r="T32" s="355">
        <v>72121.77</v>
      </c>
      <c r="U32" s="355">
        <v>85595.99</v>
      </c>
      <c r="V32" s="355"/>
      <c r="W32" s="355">
        <v>69266.87</v>
      </c>
      <c r="X32" s="355"/>
      <c r="Y32" s="355">
        <v>72101.69</v>
      </c>
      <c r="Z32" s="355">
        <f>154862.86+131176.03</f>
        <v>286038.89</v>
      </c>
      <c r="AA32" s="355">
        <v>51479.4</v>
      </c>
      <c r="AB32" s="355">
        <v>18850.12</v>
      </c>
      <c r="AC32" s="338">
        <f t="shared" si="0"/>
        <v>1254872.69</v>
      </c>
    </row>
    <row r="33" spans="1:29" x14ac:dyDescent="0.6">
      <c r="A33" s="352" t="s">
        <v>335</v>
      </c>
      <c r="B33" s="353">
        <f>'2013-2014'!AC12</f>
        <v>3494309.1200000006</v>
      </c>
      <c r="C33" s="353">
        <v>0</v>
      </c>
      <c r="D33" s="353">
        <f>1640405.94+1176284.85</f>
        <v>2816690.79</v>
      </c>
      <c r="E33" s="338">
        <v>819174.24</v>
      </c>
      <c r="F33" s="338">
        <f>819174.24+3569.4</f>
        <v>822743.64</v>
      </c>
      <c r="G33" s="338">
        <v>937498.33</v>
      </c>
      <c r="H33" s="354">
        <f>3685+937498.33</f>
        <v>941183.33</v>
      </c>
      <c r="I33" s="354">
        <v>-314316.01</v>
      </c>
      <c r="J33" s="354"/>
      <c r="K33" s="354">
        <v>756538.91</v>
      </c>
      <c r="L33" s="354"/>
      <c r="M33" s="354">
        <v>1025817.46</v>
      </c>
      <c r="N33" s="354">
        <f>756538.91+1025817.46</f>
        <v>1782356.37</v>
      </c>
      <c r="O33" s="354">
        <v>797768.36</v>
      </c>
      <c r="P33" s="354"/>
      <c r="Q33" s="354">
        <v>1981155.32</v>
      </c>
      <c r="R33" s="354"/>
      <c r="S33" s="354">
        <v>1588468.86</v>
      </c>
      <c r="T33" s="355">
        <v>797768.36</v>
      </c>
      <c r="U33" s="355">
        <v>1004285.64</v>
      </c>
      <c r="V33" s="355">
        <v>3569624.18</v>
      </c>
      <c r="W33" s="355">
        <v>864709.09</v>
      </c>
      <c r="X33" s="355">
        <v>937769.64</v>
      </c>
      <c r="Y33" s="355">
        <v>930818.6</v>
      </c>
      <c r="Z33" s="355">
        <f>864709.09+66516+930818.6</f>
        <v>1862043.69</v>
      </c>
      <c r="AA33" s="355">
        <v>585404.71</v>
      </c>
      <c r="AB33" s="355">
        <v>482224.28</v>
      </c>
      <c r="AC33" s="338">
        <f t="shared" si="0"/>
        <v>1423676.9100000008</v>
      </c>
    </row>
    <row r="34" spans="1:29" x14ac:dyDescent="0.6">
      <c r="A34" s="352" t="s">
        <v>186</v>
      </c>
      <c r="B34" s="353">
        <f>'2013-2014'!AC38</f>
        <v>1074309.8800000004</v>
      </c>
      <c r="C34" s="353"/>
      <c r="D34" s="353"/>
      <c r="E34" s="338">
        <v>21223.05</v>
      </c>
      <c r="F34" s="338">
        <v>25921.200000000001</v>
      </c>
      <c r="G34" s="338">
        <v>21517.05</v>
      </c>
      <c r="H34" s="354">
        <v>21223.05</v>
      </c>
      <c r="I34" s="354">
        <v>13125.03</v>
      </c>
      <c r="J34" s="354"/>
      <c r="K34" s="354">
        <v>14499.83</v>
      </c>
      <c r="L34" s="354">
        <v>537.64</v>
      </c>
      <c r="M34" s="354">
        <v>128662.25</v>
      </c>
      <c r="N34" s="354">
        <f>27624.86+128662.25</f>
        <v>156287.10999999999</v>
      </c>
      <c r="O34" s="354">
        <v>48430.61</v>
      </c>
      <c r="P34" s="354"/>
      <c r="Q34" s="354">
        <v>66058.11</v>
      </c>
      <c r="R34" s="354">
        <v>48430.61</v>
      </c>
      <c r="S34" s="354">
        <v>67544.36</v>
      </c>
      <c r="T34" s="355"/>
      <c r="U34" s="355">
        <v>56623.71</v>
      </c>
      <c r="V34" s="358"/>
      <c r="W34" s="355">
        <v>51143.08</v>
      </c>
      <c r="X34" s="355">
        <f>190226.18+425878.47</f>
        <v>616104.64999999991</v>
      </c>
      <c r="Y34" s="355">
        <v>48933.94</v>
      </c>
      <c r="Z34" s="355">
        <f>51143.08+48933.94</f>
        <v>100077.02</v>
      </c>
      <c r="AA34" s="355">
        <v>33901.43</v>
      </c>
      <c r="AB34" s="355">
        <v>23181.16</v>
      </c>
      <c r="AC34" s="338">
        <f t="shared" si="0"/>
        <v>700572.21000000113</v>
      </c>
    </row>
    <row r="35" spans="1:29" x14ac:dyDescent="0.6">
      <c r="A35" s="352" t="s">
        <v>39</v>
      </c>
      <c r="B35" s="353">
        <f>'2013-2014'!AC31+13413.3</f>
        <v>1177846.07</v>
      </c>
      <c r="C35" s="353"/>
      <c r="D35" s="353">
        <f>95144.61+42467.31+10907.83</f>
        <v>148519.74999999997</v>
      </c>
      <c r="E35" s="338">
        <v>328446.34999999998</v>
      </c>
      <c r="F35" s="338">
        <f>276728.44+31664.49+69829.97</f>
        <v>378222.9</v>
      </c>
      <c r="G35" s="338">
        <v>331947.71999999997</v>
      </c>
      <c r="H35" s="354">
        <f>20946.92+31946.38+32254.48+321919.35+6527</f>
        <v>413594.13</v>
      </c>
      <c r="I35" s="354">
        <v>172839.53</v>
      </c>
      <c r="J35" s="354">
        <f>35867.68+52216+111930.21+13054+9626.83+70013+35530.19+13054+13054+6527</f>
        <v>360872.91</v>
      </c>
      <c r="K35" s="354">
        <v>350136.45</v>
      </c>
      <c r="L35" s="354"/>
      <c r="M35" s="354">
        <v>441464.86</v>
      </c>
      <c r="N35" s="354"/>
      <c r="O35" s="354">
        <v>239591.42</v>
      </c>
      <c r="P35" s="354">
        <f>198562.72+87810+48478.28+6527+12162+11270+39162</f>
        <v>403972</v>
      </c>
      <c r="Q35" s="354">
        <v>1246975.45</v>
      </c>
      <c r="R35" s="354">
        <f>31743+76540+6527+227296.53+19581+6527+5748.28</f>
        <v>373962.81000000006</v>
      </c>
      <c r="S35" s="354">
        <v>829557.37</v>
      </c>
      <c r="T35" s="355">
        <f>111265.2+73988.65+212393.42+126283.33</f>
        <v>523930.60000000003</v>
      </c>
      <c r="U35" s="355">
        <v>458286.31</v>
      </c>
      <c r="V35" s="355"/>
      <c r="W35" s="355">
        <v>455123.01</v>
      </c>
      <c r="X35" s="355">
        <f>107968.39+23291.3+102379.92+45247.78+46983.12+12773.96+39067.44+7659.07</f>
        <v>385370.98000000004</v>
      </c>
      <c r="Y35" s="355">
        <v>461890.94</v>
      </c>
      <c r="Z35" s="355">
        <f>333056.74+178373.83+8506.31+54378.15+302030.65+484672.1+93087.71+15326.05+96679.32</f>
        <v>1566110.8599999999</v>
      </c>
      <c r="AA35" s="355">
        <v>342731.86</v>
      </c>
      <c r="AB35" s="355">
        <v>159796.66</v>
      </c>
      <c r="AC35" s="338">
        <f t="shared" si="0"/>
        <v>2442077.0599999996</v>
      </c>
    </row>
    <row r="36" spans="1:29" x14ac:dyDescent="0.6">
      <c r="A36" s="352" t="s">
        <v>73</v>
      </c>
      <c r="B36" s="353">
        <f>'2013-2014'!AC53-136333.47</f>
        <v>1047916.0399999998</v>
      </c>
      <c r="C36" s="353">
        <v>0</v>
      </c>
      <c r="D36" s="353"/>
      <c r="E36" s="338">
        <v>228435.42</v>
      </c>
      <c r="F36" s="338">
        <v>312806.21999999997</v>
      </c>
      <c r="G36" s="338">
        <v>201366.29</v>
      </c>
      <c r="H36" s="354">
        <v>228435.42</v>
      </c>
      <c r="I36" s="354">
        <v>107674.5</v>
      </c>
      <c r="J36" s="354">
        <v>201366.29</v>
      </c>
      <c r="K36" s="354">
        <v>203967.54</v>
      </c>
      <c r="L36" s="354"/>
      <c r="M36" s="354">
        <v>242433.28</v>
      </c>
      <c r="N36" s="354"/>
      <c r="O36" s="354">
        <v>208185.05</v>
      </c>
      <c r="P36" s="354">
        <v>454693.62</v>
      </c>
      <c r="Q36" s="354">
        <v>639141.26</v>
      </c>
      <c r="R36" s="354">
        <f>408232.59+207797.14+95925.19</f>
        <v>711954.91999999993</v>
      </c>
      <c r="S36" s="354">
        <v>465023.75</v>
      </c>
      <c r="T36" s="355"/>
      <c r="U36" s="355">
        <v>319197.76</v>
      </c>
      <c r="V36" s="355">
        <v>0</v>
      </c>
      <c r="W36" s="355">
        <v>246388.31</v>
      </c>
      <c r="X36" s="355">
        <f>637181.26</f>
        <v>637181.26</v>
      </c>
      <c r="Y36" s="355">
        <v>318207.33</v>
      </c>
      <c r="Z36" s="355">
        <f>463063.75+317237.76+244428.31</f>
        <v>1024729.8200000001</v>
      </c>
      <c r="AA36" s="355">
        <v>228850.57</v>
      </c>
      <c r="AB36" s="355">
        <v>91876.4</v>
      </c>
      <c r="AC36" s="338">
        <f t="shared" si="0"/>
        <v>977495.94999999984</v>
      </c>
    </row>
    <row r="37" spans="1:29" x14ac:dyDescent="0.6">
      <c r="A37" s="352" t="s">
        <v>54</v>
      </c>
      <c r="B37" s="353">
        <f>'2013-2014'!AC35</f>
        <v>918942.24000000011</v>
      </c>
      <c r="C37" s="353"/>
      <c r="D37" s="353"/>
      <c r="E37" s="338">
        <v>0</v>
      </c>
      <c r="F37" s="338"/>
      <c r="G37" s="338">
        <v>0</v>
      </c>
      <c r="H37" s="354"/>
      <c r="I37" s="354">
        <v>0</v>
      </c>
      <c r="J37" s="354"/>
      <c r="K37" s="354">
        <v>0</v>
      </c>
      <c r="L37" s="354"/>
      <c r="M37" s="354">
        <v>0</v>
      </c>
      <c r="N37" s="354"/>
      <c r="O37" s="354">
        <v>0</v>
      </c>
      <c r="P37" s="354"/>
      <c r="Q37" s="354">
        <v>0</v>
      </c>
      <c r="R37" s="354"/>
      <c r="S37" s="354">
        <v>0</v>
      </c>
      <c r="T37" s="355"/>
      <c r="U37" s="355">
        <v>0</v>
      </c>
      <c r="V37" s="355"/>
      <c r="W37" s="355">
        <v>0</v>
      </c>
      <c r="X37" s="355"/>
      <c r="Y37" s="355">
        <v>0</v>
      </c>
      <c r="Z37" s="355">
        <v>0</v>
      </c>
      <c r="AA37" s="355">
        <v>0</v>
      </c>
      <c r="AB37" s="355">
        <v>0</v>
      </c>
      <c r="AC37" s="338">
        <f t="shared" si="0"/>
        <v>918942.24000000011</v>
      </c>
    </row>
    <row r="38" spans="1:29" x14ac:dyDescent="0.6">
      <c r="A38" s="352" t="s">
        <v>44</v>
      </c>
      <c r="B38" s="353">
        <f>'2013-2014'!AC28</f>
        <v>2272661.6299999994</v>
      </c>
      <c r="C38" s="353"/>
      <c r="D38" s="353">
        <f>700404.65+974942.34</f>
        <v>1675346.99</v>
      </c>
      <c r="E38" s="338">
        <v>204001.36</v>
      </c>
      <c r="F38" s="338"/>
      <c r="G38" s="338">
        <v>227638.3</v>
      </c>
      <c r="H38" s="354"/>
      <c r="I38" s="354">
        <v>-184810.79</v>
      </c>
      <c r="J38" s="354"/>
      <c r="K38" s="354">
        <v>67104.710000000006</v>
      </c>
      <c r="L38" s="354"/>
      <c r="M38" s="354">
        <v>47730.62</v>
      </c>
      <c r="N38" s="354"/>
      <c r="O38" s="354">
        <v>40790.69</v>
      </c>
      <c r="P38" s="354"/>
      <c r="Q38" s="354">
        <v>26862.77</v>
      </c>
      <c r="R38" s="354"/>
      <c r="S38" s="354">
        <v>23971.37</v>
      </c>
      <c r="T38" s="355"/>
      <c r="U38" s="355">
        <v>25106.04</v>
      </c>
      <c r="V38" s="355"/>
      <c r="W38" s="355">
        <v>24364.45</v>
      </c>
      <c r="X38" s="355"/>
      <c r="Y38" s="355">
        <v>12965.16</v>
      </c>
      <c r="Z38" s="355"/>
      <c r="AA38" s="355">
        <v>23993.85</v>
      </c>
      <c r="AB38" s="355">
        <v>13823.62</v>
      </c>
      <c r="AC38" s="338">
        <f t="shared" si="0"/>
        <v>1150856.7899999996</v>
      </c>
    </row>
    <row r="39" spans="1:29" x14ac:dyDescent="0.6">
      <c r="A39" s="352" t="s">
        <v>42</v>
      </c>
      <c r="B39" s="353">
        <f>'2013-2014'!AC44</f>
        <v>1171587.7400000002</v>
      </c>
      <c r="C39" s="353"/>
      <c r="D39" s="353">
        <v>341810.49</v>
      </c>
      <c r="E39" s="338">
        <v>379715.7</v>
      </c>
      <c r="F39" s="338">
        <v>409389.87</v>
      </c>
      <c r="G39" s="338">
        <v>301692.33</v>
      </c>
      <c r="H39" s="354">
        <f>414086.26+379715.7</f>
        <v>793801.96</v>
      </c>
      <c r="I39" s="354">
        <v>99544.2</v>
      </c>
      <c r="J39" s="354"/>
      <c r="K39" s="354">
        <v>594664.51</v>
      </c>
      <c r="L39" s="354"/>
      <c r="M39" s="354">
        <v>282891.25</v>
      </c>
      <c r="N39" s="354">
        <f>301692.33+99544.2</f>
        <v>401236.53</v>
      </c>
      <c r="O39" s="354">
        <v>380905.09</v>
      </c>
      <c r="P39" s="354">
        <v>877555.76</v>
      </c>
      <c r="Q39" s="354">
        <v>789332.7</v>
      </c>
      <c r="R39" s="354"/>
      <c r="S39" s="354">
        <v>641812.28</v>
      </c>
      <c r="T39" s="355">
        <v>380905.09</v>
      </c>
      <c r="U39" s="355">
        <v>710048.74</v>
      </c>
      <c r="V39" s="355"/>
      <c r="W39" s="355">
        <v>325652.17</v>
      </c>
      <c r="X39" s="355">
        <f>789332.7+710048.74</f>
        <v>1499381.44</v>
      </c>
      <c r="Y39" s="355">
        <v>368916.41</v>
      </c>
      <c r="Z39" s="355">
        <f>325652.17+641812.28</f>
        <v>967464.45</v>
      </c>
      <c r="AA39" s="355">
        <v>323571.78000000003</v>
      </c>
      <c r="AB39" s="355">
        <v>83747.100000000006</v>
      </c>
      <c r="AC39" s="338">
        <f t="shared" si="0"/>
        <v>782536.4099999998</v>
      </c>
    </row>
    <row r="40" spans="1:29" x14ac:dyDescent="0.6">
      <c r="A40" s="352" t="s">
        <v>49</v>
      </c>
      <c r="B40" s="353">
        <f>'2013-2014'!AC40</f>
        <v>751599.03</v>
      </c>
      <c r="C40" s="353"/>
      <c r="D40" s="353"/>
      <c r="E40" s="338">
        <v>0</v>
      </c>
      <c r="F40" s="338"/>
      <c r="G40" s="338">
        <v>0</v>
      </c>
      <c r="H40" s="354"/>
      <c r="I40" s="354">
        <v>0</v>
      </c>
      <c r="J40" s="354"/>
      <c r="K40" s="354">
        <v>0</v>
      </c>
      <c r="L40" s="354"/>
      <c r="M40" s="354">
        <v>0</v>
      </c>
      <c r="N40" s="354"/>
      <c r="O40" s="354">
        <v>0</v>
      </c>
      <c r="P40" s="354"/>
      <c r="Q40" s="354">
        <v>0</v>
      </c>
      <c r="R40" s="354"/>
      <c r="S40" s="354">
        <v>0</v>
      </c>
      <c r="T40" s="355"/>
      <c r="U40" s="355">
        <v>0</v>
      </c>
      <c r="V40" s="355"/>
      <c r="W40" s="355">
        <v>0</v>
      </c>
      <c r="X40" s="355"/>
      <c r="Y40" s="355">
        <v>0</v>
      </c>
      <c r="Z40" s="355"/>
      <c r="AA40" s="355">
        <v>0</v>
      </c>
      <c r="AB40" s="355">
        <v>0</v>
      </c>
      <c r="AC40" s="338">
        <f t="shared" si="0"/>
        <v>751599.03</v>
      </c>
    </row>
    <row r="41" spans="1:29" x14ac:dyDescent="0.6">
      <c r="A41" s="352" t="s">
        <v>63</v>
      </c>
      <c r="B41" s="353">
        <f>'2013-2014'!AC42</f>
        <v>904039.80000000051</v>
      </c>
      <c r="C41" s="353"/>
      <c r="D41" s="353"/>
      <c r="E41" s="338">
        <v>0</v>
      </c>
      <c r="F41" s="338"/>
      <c r="G41" s="338">
        <v>0</v>
      </c>
      <c r="H41" s="354"/>
      <c r="I41" s="354">
        <v>-227667.16</v>
      </c>
      <c r="J41" s="354"/>
      <c r="K41" s="354">
        <v>0</v>
      </c>
      <c r="L41" s="354"/>
      <c r="M41" s="354">
        <v>0</v>
      </c>
      <c r="N41" s="354"/>
      <c r="O41" s="354">
        <v>0</v>
      </c>
      <c r="P41" s="354"/>
      <c r="Q41" s="354">
        <v>0</v>
      </c>
      <c r="R41" s="354"/>
      <c r="S41" s="354">
        <v>0</v>
      </c>
      <c r="T41" s="355"/>
      <c r="U41" s="355">
        <v>0</v>
      </c>
      <c r="V41" s="355"/>
      <c r="W41" s="355">
        <v>0</v>
      </c>
      <c r="X41" s="355"/>
      <c r="Y41" s="355">
        <v>0</v>
      </c>
      <c r="Z41" s="355"/>
      <c r="AA41" s="355">
        <v>0</v>
      </c>
      <c r="AB41" s="355">
        <v>0</v>
      </c>
      <c r="AC41" s="338">
        <f t="shared" si="0"/>
        <v>676372.64000000048</v>
      </c>
    </row>
    <row r="42" spans="1:29" x14ac:dyDescent="0.6">
      <c r="A42" s="352" t="s">
        <v>60</v>
      </c>
      <c r="B42" s="353">
        <f>'2013-2014'!AC50</f>
        <v>1122691.7290000003</v>
      </c>
      <c r="C42" s="353"/>
      <c r="D42" s="353">
        <v>597103.53</v>
      </c>
      <c r="E42" s="338">
        <v>381542.29</v>
      </c>
      <c r="F42" s="338">
        <v>523023.66</v>
      </c>
      <c r="G42" s="338">
        <v>356195.82</v>
      </c>
      <c r="H42" s="354">
        <v>381542.29</v>
      </c>
      <c r="I42" s="354">
        <v>247175.25</v>
      </c>
      <c r="J42" s="354">
        <f>356359.82</f>
        <v>356359.82</v>
      </c>
      <c r="K42" s="354">
        <v>384048.69</v>
      </c>
      <c r="L42" s="354"/>
      <c r="M42" s="354">
        <v>351901.5</v>
      </c>
      <c r="N42" s="354">
        <v>247175.25</v>
      </c>
      <c r="O42" s="354">
        <v>246998.22</v>
      </c>
      <c r="P42" s="354">
        <f>351901.5+384048.69</f>
        <v>735950.19</v>
      </c>
      <c r="Q42" s="354">
        <v>1088368.1200000001</v>
      </c>
      <c r="R42" s="354">
        <v>246998.22</v>
      </c>
      <c r="S42" s="354">
        <v>808499.87</v>
      </c>
      <c r="T42" s="355"/>
      <c r="U42" s="355">
        <v>562832.77</v>
      </c>
      <c r="V42" s="358">
        <v>1088368.1200000001</v>
      </c>
      <c r="W42" s="355">
        <v>1066245.46</v>
      </c>
      <c r="X42" s="355">
        <f>808499.87+562832.77</f>
        <v>1371332.6400000001</v>
      </c>
      <c r="Y42" s="355">
        <v>1169342.98</v>
      </c>
      <c r="Z42" s="355"/>
      <c r="AA42" s="355">
        <v>523283.7</v>
      </c>
      <c r="AB42" s="355">
        <v>145708.09</v>
      </c>
      <c r="AC42" s="338">
        <f t="shared" si="0"/>
        <v>2906980.7690000003</v>
      </c>
    </row>
    <row r="43" spans="1:29" x14ac:dyDescent="0.6">
      <c r="A43" s="352" t="s">
        <v>71</v>
      </c>
      <c r="B43" s="353">
        <f>'2013-2014'!AC52</f>
        <v>561371.34000000008</v>
      </c>
      <c r="C43" s="353"/>
      <c r="D43" s="353"/>
      <c r="E43" s="338">
        <v>26937.95</v>
      </c>
      <c r="F43" s="338">
        <v>34571.51</v>
      </c>
      <c r="G43" s="338">
        <v>25962.01</v>
      </c>
      <c r="H43" s="354"/>
      <c r="I43" s="354">
        <v>26244.42</v>
      </c>
      <c r="J43" s="354"/>
      <c r="K43" s="354">
        <v>25962.01</v>
      </c>
      <c r="L43" s="354"/>
      <c r="M43" s="354">
        <v>25962.01</v>
      </c>
      <c r="N43" s="354"/>
      <c r="O43" s="354">
        <v>25760.73</v>
      </c>
      <c r="P43" s="354">
        <v>52206.43</v>
      </c>
      <c r="Q43" s="354">
        <v>80299.97</v>
      </c>
      <c r="R43" s="354"/>
      <c r="S43" s="354">
        <v>58489.1</v>
      </c>
      <c r="T43" s="355">
        <v>25760.73</v>
      </c>
      <c r="U43" s="355">
        <v>34533.08</v>
      </c>
      <c r="V43" s="355"/>
      <c r="W43" s="355">
        <v>30710.75</v>
      </c>
      <c r="X43" s="355"/>
      <c r="Y43" s="355">
        <v>30906.47</v>
      </c>
      <c r="Z43" s="355">
        <v>173322.15</v>
      </c>
      <c r="AA43" s="355">
        <v>23949.11</v>
      </c>
      <c r="AB43" s="355">
        <v>8631.35</v>
      </c>
      <c r="AC43" s="338">
        <f t="shared" si="0"/>
        <v>699859.47999999986</v>
      </c>
    </row>
    <row r="44" spans="1:29" x14ac:dyDescent="0.6">
      <c r="A44" s="352" t="s">
        <v>88</v>
      </c>
      <c r="B44" s="353">
        <f>'2013-2014'!AC33</f>
        <v>586684.99999999977</v>
      </c>
      <c r="C44" s="353"/>
      <c r="D44" s="353">
        <v>711226.53</v>
      </c>
      <c r="E44" s="338">
        <v>517324.68</v>
      </c>
      <c r="F44" s="338"/>
      <c r="G44" s="338">
        <v>61746</v>
      </c>
      <c r="H44" s="354"/>
      <c r="I44" s="354">
        <v>53994</v>
      </c>
      <c r="J44" s="354"/>
      <c r="K44" s="354">
        <v>53994</v>
      </c>
      <c r="L44" s="354"/>
      <c r="M44" s="354">
        <v>53994</v>
      </c>
      <c r="N44" s="354"/>
      <c r="O44" s="354">
        <v>53994</v>
      </c>
      <c r="P44" s="354"/>
      <c r="Q44" s="354">
        <v>53994</v>
      </c>
      <c r="R44" s="354"/>
      <c r="S44" s="354">
        <v>46296</v>
      </c>
      <c r="T44" s="355"/>
      <c r="U44" s="355">
        <v>46296</v>
      </c>
      <c r="V44" s="355"/>
      <c r="W44" s="355">
        <v>46296</v>
      </c>
      <c r="X44" s="355"/>
      <c r="Y44" s="355">
        <v>46296</v>
      </c>
      <c r="Z44" s="355"/>
      <c r="AA44" s="355">
        <v>46296</v>
      </c>
      <c r="AB44" s="355">
        <v>0</v>
      </c>
      <c r="AC44" s="338">
        <f t="shared" si="0"/>
        <v>955979.14999999967</v>
      </c>
    </row>
    <row r="45" spans="1:29" x14ac:dyDescent="0.6">
      <c r="A45" s="352" t="s">
        <v>336</v>
      </c>
      <c r="B45" s="353">
        <f>'2013-2014'!AC41</f>
        <v>588953.87299999991</v>
      </c>
      <c r="C45" s="353"/>
      <c r="D45" s="353">
        <f>78922.32+103938.42+80141.42</f>
        <v>263002.15999999997</v>
      </c>
      <c r="E45" s="338">
        <v>53059.19</v>
      </c>
      <c r="F45" s="338"/>
      <c r="G45" s="338">
        <v>70939.63</v>
      </c>
      <c r="H45" s="354"/>
      <c r="I45" s="354">
        <v>55075.75</v>
      </c>
      <c r="J45" s="354"/>
      <c r="K45" s="354">
        <v>11435.34</v>
      </c>
      <c r="L45" s="354"/>
      <c r="M45" s="354">
        <v>86727.09</v>
      </c>
      <c r="N45" s="354"/>
      <c r="O45" s="354">
        <v>65998.990000000005</v>
      </c>
      <c r="P45" s="354"/>
      <c r="Q45" s="354">
        <v>49808.93</v>
      </c>
      <c r="R45" s="354"/>
      <c r="S45" s="354">
        <v>15981.07</v>
      </c>
      <c r="T45" s="355">
        <v>95026.11</v>
      </c>
      <c r="U45" s="355">
        <v>9431.2800000000007</v>
      </c>
      <c r="V45" s="355"/>
      <c r="W45" s="355">
        <v>1410.8</v>
      </c>
      <c r="X45" s="355"/>
      <c r="Y45" s="355">
        <v>6951.82</v>
      </c>
      <c r="Z45" s="355">
        <f>11435.34+9230.58+23042.07+45385.95+102563.79</f>
        <v>191657.72999999998</v>
      </c>
      <c r="AA45" s="355">
        <v>4744.79</v>
      </c>
      <c r="AB45" s="355">
        <v>3357.13</v>
      </c>
      <c r="AC45" s="338">
        <f t="shared" si="0"/>
        <v>474189.68300000002</v>
      </c>
    </row>
    <row r="46" spans="1:29" x14ac:dyDescent="0.6">
      <c r="A46" s="352" t="s">
        <v>50</v>
      </c>
      <c r="B46" s="353">
        <f>'2013-2014'!AC54</f>
        <v>979365.11999999988</v>
      </c>
      <c r="C46" s="353"/>
      <c r="D46" s="353">
        <f>325346.48+156121.65+119430.68+133818.93</f>
        <v>734717.74</v>
      </c>
      <c r="E46" s="338">
        <v>186647.59</v>
      </c>
      <c r="F46" s="338"/>
      <c r="G46" s="338">
        <v>179289.36</v>
      </c>
      <c r="H46" s="354">
        <f>89609.36</f>
        <v>89609.36</v>
      </c>
      <c r="I46" s="354">
        <v>64300.82</v>
      </c>
      <c r="J46" s="354">
        <f>88884.13+12896</f>
        <v>101780.13</v>
      </c>
      <c r="K46" s="354">
        <v>105871.36</v>
      </c>
      <c r="L46" s="354">
        <v>86783.039999999994</v>
      </c>
      <c r="M46" s="354">
        <v>173520.36</v>
      </c>
      <c r="N46" s="354"/>
      <c r="O46" s="354">
        <v>120834.44</v>
      </c>
      <c r="P46" s="354">
        <f>185149.42+57852.82</f>
        <v>243002.24000000002</v>
      </c>
      <c r="Q46" s="354">
        <v>294938.63</v>
      </c>
      <c r="R46" s="354"/>
      <c r="S46" s="354">
        <v>258338.33</v>
      </c>
      <c r="T46" s="355">
        <f>95332.13+171221.62+85341.36+83691.13+123849.17</f>
        <v>559435.41</v>
      </c>
      <c r="U46" s="355">
        <v>284796.03000000003</v>
      </c>
      <c r="V46" s="355">
        <f>55852.81+937.7+96460.36</f>
        <v>153250.87</v>
      </c>
      <c r="W46" s="355">
        <v>140906.70000000001</v>
      </c>
      <c r="X46" s="355"/>
      <c r="Y46" s="355">
        <v>164254.04999999999</v>
      </c>
      <c r="Z46" s="355">
        <f>111094.87+141653.28+123214</f>
        <v>375962.15</v>
      </c>
      <c r="AA46" s="355">
        <v>117535.48</v>
      </c>
      <c r="AB46" s="355">
        <v>48513.88</v>
      </c>
      <c r="AC46" s="338">
        <f t="shared" si="0"/>
        <v>774571.20999999973</v>
      </c>
    </row>
    <row r="47" spans="1:29" x14ac:dyDescent="0.6">
      <c r="A47" s="359" t="s">
        <v>337</v>
      </c>
      <c r="B47" s="353">
        <f>'2013-2014'!AC96</f>
        <v>493055.1</v>
      </c>
      <c r="C47" s="353"/>
      <c r="D47" s="360"/>
      <c r="E47" s="361">
        <v>0</v>
      </c>
      <c r="F47" s="361"/>
      <c r="G47" s="361">
        <v>0</v>
      </c>
      <c r="H47" s="362"/>
      <c r="I47" s="362">
        <v>1444.98</v>
      </c>
      <c r="J47" s="362"/>
      <c r="K47" s="362">
        <v>0</v>
      </c>
      <c r="L47" s="362"/>
      <c r="M47" s="362">
        <v>0</v>
      </c>
      <c r="N47" s="362"/>
      <c r="O47" s="362">
        <v>0</v>
      </c>
      <c r="P47" s="362"/>
      <c r="Q47" s="354">
        <v>0</v>
      </c>
      <c r="R47" s="362"/>
      <c r="S47" s="362">
        <v>0</v>
      </c>
      <c r="T47" s="363"/>
      <c r="U47" s="363">
        <v>0</v>
      </c>
      <c r="V47" s="363"/>
      <c r="W47" s="363">
        <v>0</v>
      </c>
      <c r="X47" s="363"/>
      <c r="Y47" s="363">
        <v>0</v>
      </c>
      <c r="Z47" s="363"/>
      <c r="AA47" s="363">
        <v>0</v>
      </c>
      <c r="AB47" s="363">
        <v>0</v>
      </c>
      <c r="AC47" s="338">
        <f t="shared" si="0"/>
        <v>494500.07999999996</v>
      </c>
    </row>
    <row r="48" spans="1:29" x14ac:dyDescent="0.6">
      <c r="A48" s="352" t="s">
        <v>46</v>
      </c>
      <c r="B48" s="353">
        <f>'2013-2014'!AC57</f>
        <v>279663.99999999983</v>
      </c>
      <c r="C48" s="353">
        <v>0</v>
      </c>
      <c r="D48" s="353">
        <v>188010.26</v>
      </c>
      <c r="E48" s="338">
        <v>162197.1</v>
      </c>
      <c r="F48" s="338"/>
      <c r="G48" s="338">
        <v>174952.11</v>
      </c>
      <c r="H48" s="354">
        <f>161896.82+174952.11</f>
        <v>336848.93</v>
      </c>
      <c r="I48" s="354">
        <v>222846.27</v>
      </c>
      <c r="J48" s="354"/>
      <c r="K48" s="354">
        <v>139427.01999999999</v>
      </c>
      <c r="L48" s="354"/>
      <c r="M48" s="354">
        <v>671804.49</v>
      </c>
      <c r="N48" s="354">
        <f>221056.02+139427.02</f>
        <v>360483.04</v>
      </c>
      <c r="O48" s="354">
        <v>362890.82</v>
      </c>
      <c r="P48" s="354">
        <v>671804.49</v>
      </c>
      <c r="Q48" s="354">
        <v>597933.02</v>
      </c>
      <c r="R48" s="354">
        <v>358159.33</v>
      </c>
      <c r="S48" s="354">
        <v>769130.62</v>
      </c>
      <c r="T48" s="355">
        <v>594603.85</v>
      </c>
      <c r="U48" s="355">
        <v>315382.03999999998</v>
      </c>
      <c r="V48" s="355">
        <v>753576</v>
      </c>
      <c r="W48" s="355">
        <v>259832.79</v>
      </c>
      <c r="X48" s="355">
        <f>315352.04</f>
        <v>315352.03999999998</v>
      </c>
      <c r="Y48" s="355">
        <v>236009.41</v>
      </c>
      <c r="Z48" s="355">
        <f>259832.79+236009.41</f>
        <v>495842.2</v>
      </c>
      <c r="AA48" s="355">
        <v>130799.42</v>
      </c>
      <c r="AB48" s="355">
        <v>113498.7</v>
      </c>
      <c r="AC48" s="338">
        <f t="shared" si="0"/>
        <v>361687.66999999987</v>
      </c>
    </row>
    <row r="49" spans="1:29" x14ac:dyDescent="0.6">
      <c r="A49" s="352" t="s">
        <v>59</v>
      </c>
      <c r="B49" s="353">
        <f>'2013-2014'!AC60</f>
        <v>696358.42</v>
      </c>
      <c r="C49" s="353">
        <v>0</v>
      </c>
      <c r="D49" s="353">
        <f>263159.9+34800.01+113882.23+207110.45</f>
        <v>618952.59000000008</v>
      </c>
      <c r="E49" s="338">
        <v>135713.18</v>
      </c>
      <c r="F49" s="338"/>
      <c r="G49" s="338">
        <v>132106.82999999999</v>
      </c>
      <c r="H49" s="354">
        <f>135713+132106.83</f>
        <v>267819.82999999996</v>
      </c>
      <c r="I49" s="354">
        <v>169626.63</v>
      </c>
      <c r="J49" s="354"/>
      <c r="K49" s="354">
        <v>132106.82999999999</v>
      </c>
      <c r="L49" s="354"/>
      <c r="M49" s="354">
        <v>132106.82999999999</v>
      </c>
      <c r="N49" s="354">
        <f>301733.46+132106.83</f>
        <v>433840.29000000004</v>
      </c>
      <c r="O49" s="354">
        <v>147470.74</v>
      </c>
      <c r="P49" s="354"/>
      <c r="Q49" s="354">
        <v>338092.64</v>
      </c>
      <c r="R49" s="354"/>
      <c r="S49" s="354">
        <v>343465.87</v>
      </c>
      <c r="T49" s="355">
        <v>485563.38</v>
      </c>
      <c r="U49" s="355">
        <v>182468.25</v>
      </c>
      <c r="V49" s="355">
        <v>524390.37</v>
      </c>
      <c r="W49" s="355">
        <v>145612.39000000001</v>
      </c>
      <c r="X49" s="355"/>
      <c r="Y49" s="355">
        <v>185072.74</v>
      </c>
      <c r="Z49" s="355">
        <f>145612.39+184461.14</f>
        <v>330073.53000000003</v>
      </c>
      <c r="AA49" s="355">
        <v>128594.31</v>
      </c>
      <c r="AB49" s="355">
        <v>36633.269999999997</v>
      </c>
      <c r="AC49" s="338">
        <f t="shared" si="0"/>
        <v>244788.93999999986</v>
      </c>
    </row>
    <row r="50" spans="1:29" x14ac:dyDescent="0.6">
      <c r="A50" s="352" t="s">
        <v>33</v>
      </c>
      <c r="B50" s="353">
        <f>'2013-2014'!AC61</f>
        <v>314483.62</v>
      </c>
      <c r="C50" s="353"/>
      <c r="D50" s="353">
        <v>44158.29</v>
      </c>
      <c r="E50" s="338">
        <v>40449.269999999997</v>
      </c>
      <c r="F50" s="338">
        <v>54109.14</v>
      </c>
      <c r="G50" s="338">
        <v>39256</v>
      </c>
      <c r="H50" s="354"/>
      <c r="I50" s="354">
        <v>39256</v>
      </c>
      <c r="J50" s="354">
        <v>39256</v>
      </c>
      <c r="K50" s="354">
        <v>46113.69</v>
      </c>
      <c r="L50" s="354"/>
      <c r="M50" s="354">
        <v>40605.160000000003</v>
      </c>
      <c r="N50" s="354"/>
      <c r="O50" s="354">
        <v>39256</v>
      </c>
      <c r="P50" s="354">
        <v>132489</v>
      </c>
      <c r="Q50" s="354">
        <v>123448.94</v>
      </c>
      <c r="R50" s="354">
        <v>44163</v>
      </c>
      <c r="S50" s="354">
        <v>118799.62</v>
      </c>
      <c r="T50" s="355"/>
      <c r="U50" s="355">
        <v>72684.240000000005</v>
      </c>
      <c r="V50" s="355">
        <v>39256</v>
      </c>
      <c r="W50" s="355">
        <v>62387.82</v>
      </c>
      <c r="X50" s="355"/>
      <c r="Y50" s="355">
        <v>77152.149999999994</v>
      </c>
      <c r="Z50" s="355">
        <f>377320.62+77152.15</f>
        <v>454472.77</v>
      </c>
      <c r="AA50" s="355">
        <v>60146.43</v>
      </c>
      <c r="AB50" s="355">
        <v>22963</v>
      </c>
      <c r="AC50" s="338">
        <f t="shared" si="0"/>
        <v>289097.74000000005</v>
      </c>
    </row>
    <row r="51" spans="1:29" x14ac:dyDescent="0.6">
      <c r="A51" s="352" t="s">
        <v>82</v>
      </c>
      <c r="B51" s="353">
        <f>'2013-2014'!AC68</f>
        <v>89842.32</v>
      </c>
      <c r="C51" s="353"/>
      <c r="D51" s="353"/>
      <c r="E51" s="338">
        <v>136159.76</v>
      </c>
      <c r="F51" s="338">
        <v>136159.76</v>
      </c>
      <c r="G51" s="338">
        <v>70222.81</v>
      </c>
      <c r="H51" s="354"/>
      <c r="I51" s="354">
        <v>72210.12</v>
      </c>
      <c r="J51" s="354"/>
      <c r="K51" s="354">
        <v>85714.41</v>
      </c>
      <c r="L51" s="354"/>
      <c r="M51" s="354">
        <v>115251.41</v>
      </c>
      <c r="N51" s="354"/>
      <c r="O51" s="354">
        <v>85053.2</v>
      </c>
      <c r="P51" s="354"/>
      <c r="Q51" s="354">
        <v>202375.42</v>
      </c>
      <c r="R51" s="354"/>
      <c r="S51" s="354">
        <v>141677.64000000001</v>
      </c>
      <c r="T51" s="355"/>
      <c r="U51" s="355">
        <v>96652.57</v>
      </c>
      <c r="V51" s="355"/>
      <c r="W51" s="355">
        <v>88781.92</v>
      </c>
      <c r="X51" s="355"/>
      <c r="Y51" s="355">
        <v>88043.46</v>
      </c>
      <c r="Z51" s="355"/>
      <c r="AA51" s="355">
        <v>61262.34</v>
      </c>
      <c r="AB51" s="355">
        <v>25489.51</v>
      </c>
      <c r="AC51" s="338">
        <f t="shared" si="0"/>
        <v>1222577.1300000004</v>
      </c>
    </row>
    <row r="52" spans="1:29" x14ac:dyDescent="0.6">
      <c r="A52" s="352" t="s">
        <v>75</v>
      </c>
      <c r="B52" s="353">
        <f>'2013-2014'!AC49</f>
        <v>105225.58999999992</v>
      </c>
      <c r="C52" s="353"/>
      <c r="D52" s="353"/>
      <c r="E52" s="338">
        <v>82928.960000000006</v>
      </c>
      <c r="F52" s="338">
        <v>103675.54</v>
      </c>
      <c r="G52" s="338">
        <v>84297</v>
      </c>
      <c r="H52" s="354">
        <v>167225.96</v>
      </c>
      <c r="I52" s="354">
        <v>59586.44</v>
      </c>
      <c r="J52" s="354"/>
      <c r="K52" s="354">
        <v>79048.479999999996</v>
      </c>
      <c r="L52" s="354"/>
      <c r="M52" s="354">
        <v>96381.19</v>
      </c>
      <c r="N52" s="354">
        <v>0</v>
      </c>
      <c r="O52" s="354">
        <v>84318.8</v>
      </c>
      <c r="P52" s="354"/>
      <c r="Q52" s="354">
        <v>261967.09</v>
      </c>
      <c r="R52" s="354"/>
      <c r="S52" s="354">
        <v>233008.9</v>
      </c>
      <c r="T52" s="355"/>
      <c r="U52" s="355">
        <v>269665.46000000002</v>
      </c>
      <c r="V52" s="355"/>
      <c r="W52" s="355">
        <v>189961.76</v>
      </c>
      <c r="X52" s="355">
        <f>261967.09+269665.46</f>
        <v>531632.55000000005</v>
      </c>
      <c r="Y52" s="355">
        <v>176006.34</v>
      </c>
      <c r="Z52" s="355">
        <f>189961.76+260325.14+96381.19+233008.9</f>
        <v>779676.99000000011</v>
      </c>
      <c r="AA52" s="355">
        <v>104513.69</v>
      </c>
      <c r="AB52" s="355">
        <v>63205.99</v>
      </c>
      <c r="AC52" s="338">
        <f t="shared" si="0"/>
        <v>307904.64999999973</v>
      </c>
    </row>
    <row r="53" spans="1:29" x14ac:dyDescent="0.6">
      <c r="A53" s="352" t="s">
        <v>84</v>
      </c>
      <c r="B53" s="353">
        <f>'2013-2014'!AC43</f>
        <v>501372.02000000037</v>
      </c>
      <c r="C53" s="353"/>
      <c r="D53" s="353">
        <v>233001.12</v>
      </c>
      <c r="E53" s="338">
        <v>7752</v>
      </c>
      <c r="F53" s="338"/>
      <c r="G53" s="338">
        <v>7752</v>
      </c>
      <c r="H53" s="354"/>
      <c r="I53" s="354">
        <v>7752</v>
      </c>
      <c r="J53" s="354"/>
      <c r="K53" s="354">
        <v>7752</v>
      </c>
      <c r="L53" s="354"/>
      <c r="M53" s="354">
        <v>0</v>
      </c>
      <c r="N53" s="354">
        <v>0</v>
      </c>
      <c r="O53" s="354">
        <v>0</v>
      </c>
      <c r="P53" s="354"/>
      <c r="Q53" s="354">
        <v>0</v>
      </c>
      <c r="R53" s="354">
        <v>274329.93</v>
      </c>
      <c r="S53" s="354">
        <v>0</v>
      </c>
      <c r="T53" s="355"/>
      <c r="U53" s="355">
        <v>0</v>
      </c>
      <c r="V53" s="355"/>
      <c r="W53" s="355">
        <v>0</v>
      </c>
      <c r="X53" s="355"/>
      <c r="Y53" s="355">
        <v>0</v>
      </c>
      <c r="Z53" s="355"/>
      <c r="AA53" s="355">
        <v>0</v>
      </c>
      <c r="AB53" s="355">
        <v>0</v>
      </c>
      <c r="AC53" s="338">
        <f t="shared" si="0"/>
        <v>25048.97000000038</v>
      </c>
    </row>
    <row r="54" spans="1:29" x14ac:dyDescent="0.6">
      <c r="A54" s="352" t="s">
        <v>68</v>
      </c>
      <c r="B54" s="353">
        <f>'2013-2014'!AC30</f>
        <v>394709.6199999993</v>
      </c>
      <c r="C54" s="353"/>
      <c r="D54" s="353">
        <f>205253.32+212494.11</f>
        <v>417747.43</v>
      </c>
      <c r="E54" s="338">
        <v>161603.70000000001</v>
      </c>
      <c r="F54" s="338">
        <v>161603.70000000001</v>
      </c>
      <c r="G54" s="338">
        <v>172003.63</v>
      </c>
      <c r="H54" s="354"/>
      <c r="I54" s="354">
        <v>141891.17000000001</v>
      </c>
      <c r="J54" s="354">
        <v>172003.63</v>
      </c>
      <c r="K54" s="354">
        <v>169304.55</v>
      </c>
      <c r="L54" s="354"/>
      <c r="M54" s="354">
        <v>159030.82</v>
      </c>
      <c r="N54" s="354">
        <f>311195.72+159030.82</f>
        <v>470226.54</v>
      </c>
      <c r="O54" s="354">
        <v>136122.51999999999</v>
      </c>
      <c r="P54" s="354"/>
      <c r="Q54" s="354">
        <v>378493.93</v>
      </c>
      <c r="R54" s="354">
        <v>136122.51999999999</v>
      </c>
      <c r="S54" s="354">
        <v>266169.15999999997</v>
      </c>
      <c r="T54" s="355"/>
      <c r="U54" s="355">
        <v>159284.45000000001</v>
      </c>
      <c r="V54" s="355">
        <v>378943.93</v>
      </c>
      <c r="W54" s="355">
        <v>150530.17000000001</v>
      </c>
      <c r="X54" s="355">
        <v>425453.61</v>
      </c>
      <c r="Y54" s="355">
        <v>145767.23000000001</v>
      </c>
      <c r="Z54" s="355">
        <f>150080.17+145767.23</f>
        <v>295847.40000000002</v>
      </c>
      <c r="AA54" s="355">
        <v>106502.39999999999</v>
      </c>
      <c r="AB54" s="355">
        <v>42931.85</v>
      </c>
      <c r="AC54" s="338">
        <f t="shared" si="0"/>
        <v>126396.43999999925</v>
      </c>
    </row>
    <row r="55" spans="1:29" x14ac:dyDescent="0.6">
      <c r="A55" s="352" t="s">
        <v>51</v>
      </c>
      <c r="B55" s="353">
        <f>'2013-2014'!AC58</f>
        <v>523776</v>
      </c>
      <c r="C55" s="353">
        <v>0</v>
      </c>
      <c r="D55" s="353">
        <v>237336</v>
      </c>
      <c r="E55" s="338">
        <v>237336</v>
      </c>
      <c r="F55" s="338">
        <v>237336</v>
      </c>
      <c r="G55" s="338">
        <v>237336</v>
      </c>
      <c r="H55" s="354">
        <v>237336</v>
      </c>
      <c r="I55" s="354">
        <v>237336</v>
      </c>
      <c r="J55" s="354">
        <v>237336</v>
      </c>
      <c r="K55" s="354">
        <v>237336</v>
      </c>
      <c r="L55" s="354">
        <v>237336</v>
      </c>
      <c r="M55" s="354">
        <v>237336</v>
      </c>
      <c r="N55" s="354"/>
      <c r="O55" s="354">
        <v>237336</v>
      </c>
      <c r="P55" s="354">
        <f>237336+237336</f>
        <v>474672</v>
      </c>
      <c r="Q55" s="354">
        <v>237336</v>
      </c>
      <c r="R55" s="354">
        <v>237336</v>
      </c>
      <c r="S55" s="354">
        <v>237336</v>
      </c>
      <c r="T55" s="355">
        <v>237336</v>
      </c>
      <c r="U55" s="355">
        <v>237336</v>
      </c>
      <c r="V55" s="355">
        <v>237336</v>
      </c>
      <c r="W55" s="355">
        <v>237336</v>
      </c>
      <c r="X55" s="355">
        <v>237336</v>
      </c>
      <c r="Y55" s="355">
        <v>237336</v>
      </c>
      <c r="Z55" s="355">
        <f>237336+237336</f>
        <v>474672</v>
      </c>
      <c r="AA55" s="355">
        <v>237336</v>
      </c>
      <c r="AB55" s="355">
        <v>0</v>
      </c>
      <c r="AC55" s="338">
        <f t="shared" si="0"/>
        <v>286440</v>
      </c>
    </row>
    <row r="56" spans="1:29" x14ac:dyDescent="0.6">
      <c r="A56" s="352" t="s">
        <v>338</v>
      </c>
      <c r="B56" s="353">
        <f>'2013-2014'!AC21</f>
        <v>220717.32000000152</v>
      </c>
      <c r="C56" s="353">
        <v>0</v>
      </c>
      <c r="D56" s="353"/>
      <c r="E56" s="338">
        <v>163650.35</v>
      </c>
      <c r="F56" s="338"/>
      <c r="G56" s="338">
        <v>166995.81</v>
      </c>
      <c r="H56" s="354">
        <f>163650.35</f>
        <v>163650.35</v>
      </c>
      <c r="I56" s="354">
        <v>-85896.79</v>
      </c>
      <c r="J56" s="354">
        <v>202723.32</v>
      </c>
      <c r="K56" s="354">
        <v>163045</v>
      </c>
      <c r="L56" s="354">
        <v>166995.81</v>
      </c>
      <c r="M56" s="354">
        <v>159391.87</v>
      </c>
      <c r="N56" s="354">
        <v>163045</v>
      </c>
      <c r="O56" s="354">
        <v>158172</v>
      </c>
      <c r="P56" s="354">
        <f>73495.08+158172</f>
        <v>231667.08000000002</v>
      </c>
      <c r="Q56" s="354">
        <v>360639.91</v>
      </c>
      <c r="R56" s="354"/>
      <c r="S56" s="354">
        <v>284236.65999999997</v>
      </c>
      <c r="T56" s="355">
        <v>633010.56999999995</v>
      </c>
      <c r="U56" s="355">
        <v>191150.86</v>
      </c>
      <c r="V56" s="355"/>
      <c r="W56" s="355">
        <v>172516.48000000001</v>
      </c>
      <c r="X56" s="355">
        <f>191150.86+172516.48</f>
        <v>363667.33999999997</v>
      </c>
      <c r="Y56" s="355">
        <v>198702.8</v>
      </c>
      <c r="Z56" s="355">
        <v>198702.8</v>
      </c>
      <c r="AA56" s="355">
        <v>158172</v>
      </c>
      <c r="AB56" s="355">
        <v>38888.94</v>
      </c>
      <c r="AC56" s="338">
        <f t="shared" si="0"/>
        <v>226920.94000000163</v>
      </c>
    </row>
    <row r="57" spans="1:29" x14ac:dyDescent="0.6">
      <c r="A57" s="352" t="s">
        <v>77</v>
      </c>
      <c r="B57" s="353">
        <f>'2013-2014'!AC59</f>
        <v>407793.40999999992</v>
      </c>
      <c r="C57" s="353"/>
      <c r="D57" s="353"/>
      <c r="E57" s="338">
        <v>16491.740000000002</v>
      </c>
      <c r="F57" s="338"/>
      <c r="G57" s="338">
        <v>0</v>
      </c>
      <c r="H57" s="354"/>
      <c r="I57" s="354">
        <v>0</v>
      </c>
      <c r="J57" s="354">
        <f>158469.92</f>
        <v>158469.92000000001</v>
      </c>
      <c r="K57" s="354">
        <v>0</v>
      </c>
      <c r="L57" s="354"/>
      <c r="M57" s="354">
        <v>174097.61</v>
      </c>
      <c r="N57" s="354"/>
      <c r="O57" s="354">
        <v>43890.15</v>
      </c>
      <c r="P57" s="354"/>
      <c r="Q57" s="354">
        <v>71777.850000000006</v>
      </c>
      <c r="R57" s="354"/>
      <c r="S57" s="354">
        <v>82777.45</v>
      </c>
      <c r="T57" s="355"/>
      <c r="U57" s="355">
        <v>67524.320000000007</v>
      </c>
      <c r="V57" s="355"/>
      <c r="W57" s="355">
        <v>59163.91</v>
      </c>
      <c r="X57" s="355"/>
      <c r="Y57" s="355">
        <v>53593.38</v>
      </c>
      <c r="Z57" s="355"/>
      <c r="AA57" s="355">
        <v>30723.11</v>
      </c>
      <c r="AB57" s="355">
        <v>22973.01</v>
      </c>
      <c r="AC57" s="338">
        <f t="shared" si="0"/>
        <v>872336.0199999999</v>
      </c>
    </row>
    <row r="58" spans="1:29" x14ac:dyDescent="0.6">
      <c r="A58" s="359" t="s">
        <v>56</v>
      </c>
      <c r="B58" s="353">
        <f>'2013-2014'!AC91</f>
        <v>325100.46999999997</v>
      </c>
      <c r="C58" s="353"/>
      <c r="D58" s="360">
        <v>145760</v>
      </c>
      <c r="E58" s="361">
        <v>36440</v>
      </c>
      <c r="F58" s="361"/>
      <c r="G58" s="361">
        <v>36440</v>
      </c>
      <c r="H58" s="362"/>
      <c r="I58" s="362">
        <v>36440</v>
      </c>
      <c r="J58" s="362">
        <v>72880</v>
      </c>
      <c r="K58" s="362">
        <v>36440</v>
      </c>
      <c r="L58" s="362"/>
      <c r="M58" s="362">
        <v>36440</v>
      </c>
      <c r="N58" s="362"/>
      <c r="O58" s="362">
        <v>36440</v>
      </c>
      <c r="P58" s="362"/>
      <c r="Q58" s="354">
        <v>36440</v>
      </c>
      <c r="R58" s="362"/>
      <c r="S58" s="362">
        <v>36440</v>
      </c>
      <c r="T58" s="363">
        <v>109320</v>
      </c>
      <c r="U58" s="363">
        <v>36440</v>
      </c>
      <c r="V58" s="363"/>
      <c r="W58" s="363">
        <v>36440</v>
      </c>
      <c r="X58" s="363"/>
      <c r="Y58" s="363">
        <v>36440</v>
      </c>
      <c r="Z58" s="363">
        <v>109320</v>
      </c>
      <c r="AA58" s="363">
        <v>36440</v>
      </c>
      <c r="AB58" s="363">
        <v>0</v>
      </c>
      <c r="AC58" s="338">
        <f t="shared" si="0"/>
        <v>325100.46999999997</v>
      </c>
    </row>
    <row r="59" spans="1:29" x14ac:dyDescent="0.6">
      <c r="A59" s="352" t="s">
        <v>66</v>
      </c>
      <c r="B59" s="353">
        <f>'2013-2014'!AC66</f>
        <v>156900.59000000008</v>
      </c>
      <c r="C59" s="353">
        <v>0</v>
      </c>
      <c r="D59" s="353"/>
      <c r="E59" s="338">
        <v>140029.07999999999</v>
      </c>
      <c r="F59" s="338">
        <v>150977.29999999999</v>
      </c>
      <c r="G59" s="338">
        <v>106962.58</v>
      </c>
      <c r="H59" s="354">
        <v>140029.07999999999</v>
      </c>
      <c r="I59" s="354">
        <v>132086.63</v>
      </c>
      <c r="J59" s="354">
        <v>106962.58</v>
      </c>
      <c r="K59" s="354">
        <v>105573.7</v>
      </c>
      <c r="L59" s="354"/>
      <c r="M59" s="354">
        <v>143242.63</v>
      </c>
      <c r="N59" s="354"/>
      <c r="O59" s="354">
        <v>122311.97</v>
      </c>
      <c r="P59" s="354"/>
      <c r="Q59" s="354">
        <v>264382.21000000002</v>
      </c>
      <c r="R59" s="354">
        <v>380902.97</v>
      </c>
      <c r="S59" s="354">
        <v>246465.68</v>
      </c>
      <c r="T59" s="355">
        <v>633159.86</v>
      </c>
      <c r="U59" s="355">
        <v>154052.5</v>
      </c>
      <c r="V59" s="355"/>
      <c r="W59" s="355">
        <v>126577.78</v>
      </c>
      <c r="X59" s="355"/>
      <c r="Y59" s="355">
        <v>131825.34</v>
      </c>
      <c r="Z59" s="355">
        <f>154052.5+126577.78+131825.34</f>
        <v>412455.62</v>
      </c>
      <c r="AA59" s="355">
        <v>115994.89</v>
      </c>
      <c r="AB59" s="355">
        <v>29271.279999999999</v>
      </c>
      <c r="AC59" s="338">
        <f t="shared" si="0"/>
        <v>151189.45000000013</v>
      </c>
    </row>
    <row r="60" spans="1:29" x14ac:dyDescent="0.6">
      <c r="A60" s="352" t="s">
        <v>74</v>
      </c>
      <c r="B60" s="353">
        <f>'2013-2014'!AC65</f>
        <v>740172.18999999983</v>
      </c>
      <c r="C60" s="353">
        <v>0</v>
      </c>
      <c r="D60" s="353"/>
      <c r="E60" s="338">
        <v>144455.03</v>
      </c>
      <c r="F60" s="338">
        <v>129116.78</v>
      </c>
      <c r="G60" s="338">
        <v>93022.41</v>
      </c>
      <c r="H60" s="354">
        <f>138328+93022.41</f>
        <v>231350.41</v>
      </c>
      <c r="I60" s="354">
        <v>-163381.26</v>
      </c>
      <c r="J60" s="354"/>
      <c r="K60" s="354">
        <v>110188.61</v>
      </c>
      <c r="L60" s="354"/>
      <c r="M60" s="354">
        <v>95590.87</v>
      </c>
      <c r="N60" s="354">
        <f>110188.61+98071.79+95590.87</f>
        <v>303851.27</v>
      </c>
      <c r="O60" s="354">
        <v>98616.45</v>
      </c>
      <c r="P60" s="354">
        <f>1514.38+98616.45</f>
        <v>100130.83</v>
      </c>
      <c r="Q60" s="354">
        <v>222244.33</v>
      </c>
      <c r="R60" s="354">
        <v>79776.45</v>
      </c>
      <c r="S60" s="354">
        <v>177145.1</v>
      </c>
      <c r="T60" s="355"/>
      <c r="U60" s="355">
        <v>101829.75</v>
      </c>
      <c r="V60" s="355">
        <v>222244.33</v>
      </c>
      <c r="W60" s="355">
        <v>91337.4</v>
      </c>
      <c r="X60" s="355">
        <v>101829.75</v>
      </c>
      <c r="Y60" s="355">
        <v>104581.8</v>
      </c>
      <c r="Z60" s="355">
        <f>91337.4+104581.8</f>
        <v>195919.2</v>
      </c>
      <c r="AA60" s="355">
        <v>79830.22</v>
      </c>
      <c r="AB60" s="355">
        <v>27783.55</v>
      </c>
      <c r="AC60" s="338">
        <f t="shared" si="0"/>
        <v>559197.42999999993</v>
      </c>
    </row>
    <row r="61" spans="1:29" x14ac:dyDescent="0.6">
      <c r="A61" s="352" t="s">
        <v>81</v>
      </c>
      <c r="B61" s="353">
        <f>'2013-2014'!AC55</f>
        <v>185299.70699999999</v>
      </c>
      <c r="C61" s="353"/>
      <c r="D61" s="353">
        <v>44623.05</v>
      </c>
      <c r="E61" s="338">
        <v>39777.93</v>
      </c>
      <c r="F61" s="338">
        <v>39777.93</v>
      </c>
      <c r="G61" s="338">
        <v>36145</v>
      </c>
      <c r="H61" s="354">
        <v>36145</v>
      </c>
      <c r="I61" s="354">
        <v>34932</v>
      </c>
      <c r="J61" s="354"/>
      <c r="K61" s="354">
        <v>34932</v>
      </c>
      <c r="L61" s="354"/>
      <c r="M61" s="354">
        <v>34932</v>
      </c>
      <c r="N61" s="354">
        <v>34932</v>
      </c>
      <c r="O61" s="354">
        <v>34932</v>
      </c>
      <c r="P61" s="354">
        <f>34932+34932+34932</f>
        <v>104796</v>
      </c>
      <c r="Q61" s="354">
        <v>56561</v>
      </c>
      <c r="R61" s="354">
        <v>23993.55</v>
      </c>
      <c r="S61" s="354">
        <v>50633.01</v>
      </c>
      <c r="T61" s="355">
        <v>50633.01</v>
      </c>
      <c r="U61" s="355">
        <v>32196.720000000001</v>
      </c>
      <c r="V61" s="355">
        <v>56561</v>
      </c>
      <c r="W61" s="355">
        <v>29659.41</v>
      </c>
      <c r="X61" s="355">
        <f>32196.72+29659.41</f>
        <v>61856.130000000005</v>
      </c>
      <c r="Y61" s="355">
        <v>43143.83</v>
      </c>
      <c r="Z61" s="355">
        <v>43143.83</v>
      </c>
      <c r="AA61" s="355">
        <v>25680</v>
      </c>
      <c r="AB61" s="355">
        <v>4076.98</v>
      </c>
      <c r="AC61" s="338">
        <f t="shared" si="0"/>
        <v>146440.08700000003</v>
      </c>
    </row>
    <row r="62" spans="1:29" x14ac:dyDescent="0.6">
      <c r="A62" s="352" t="s">
        <v>87</v>
      </c>
      <c r="B62" s="353">
        <f>'2013-2014'!AC64</f>
        <v>195494.95</v>
      </c>
      <c r="C62" s="353"/>
      <c r="D62" s="353"/>
      <c r="E62" s="338">
        <v>14843.75</v>
      </c>
      <c r="F62" s="338"/>
      <c r="G62" s="338">
        <v>0</v>
      </c>
      <c r="H62" s="354"/>
      <c r="I62" s="354">
        <v>0</v>
      </c>
      <c r="J62" s="354"/>
      <c r="K62" s="354">
        <v>0</v>
      </c>
      <c r="L62" s="354"/>
      <c r="M62" s="354">
        <v>0</v>
      </c>
      <c r="N62" s="354"/>
      <c r="O62" s="354">
        <v>0</v>
      </c>
      <c r="P62" s="354"/>
      <c r="Q62" s="354">
        <v>0</v>
      </c>
      <c r="R62" s="354"/>
      <c r="S62" s="354">
        <v>0</v>
      </c>
      <c r="T62" s="355"/>
      <c r="U62" s="355">
        <v>0</v>
      </c>
      <c r="V62" s="355"/>
      <c r="W62" s="355">
        <v>0</v>
      </c>
      <c r="X62" s="355"/>
      <c r="Y62" s="355">
        <v>0</v>
      </c>
      <c r="Z62" s="355"/>
      <c r="AA62" s="355">
        <v>0</v>
      </c>
      <c r="AB62" s="355">
        <v>0</v>
      </c>
      <c r="AC62" s="338">
        <f t="shared" si="0"/>
        <v>210338.7</v>
      </c>
    </row>
    <row r="63" spans="1:29" x14ac:dyDescent="0.6">
      <c r="A63" s="359" t="s">
        <v>312</v>
      </c>
      <c r="B63" s="353">
        <f>'2013-2014'!AC83</f>
        <v>137951.98000000001</v>
      </c>
      <c r="C63" s="353"/>
      <c r="D63" s="360"/>
      <c r="E63" s="361">
        <v>0</v>
      </c>
      <c r="F63" s="361"/>
      <c r="G63" s="361">
        <v>31769.040000000001</v>
      </c>
      <c r="H63" s="362"/>
      <c r="I63" s="362">
        <v>30079.66</v>
      </c>
      <c r="J63" s="362"/>
      <c r="K63" s="362">
        <v>0</v>
      </c>
      <c r="L63" s="362"/>
      <c r="M63" s="362">
        <v>0</v>
      </c>
      <c r="N63" s="362"/>
      <c r="O63" s="362">
        <v>0</v>
      </c>
      <c r="P63" s="362"/>
      <c r="Q63" s="354">
        <v>16435.05</v>
      </c>
      <c r="R63" s="362"/>
      <c r="S63" s="362">
        <v>0</v>
      </c>
      <c r="T63" s="363"/>
      <c r="U63" s="363">
        <v>1437.5</v>
      </c>
      <c r="V63" s="363"/>
      <c r="W63" s="363">
        <v>0</v>
      </c>
      <c r="X63" s="363"/>
      <c r="Y63" s="363">
        <v>0</v>
      </c>
      <c r="Z63" s="363"/>
      <c r="AA63" s="363">
        <v>0</v>
      </c>
      <c r="AB63" s="363">
        <v>0</v>
      </c>
      <c r="AC63" s="338">
        <f t="shared" si="0"/>
        <v>217673.23</v>
      </c>
    </row>
    <row r="64" spans="1:29" x14ac:dyDescent="0.6">
      <c r="A64" s="352" t="s">
        <v>48</v>
      </c>
      <c r="B64" s="353">
        <f>'2013-2014'!AC73+60</f>
        <v>116859.73</v>
      </c>
      <c r="C64" s="353"/>
      <c r="D64" s="353"/>
      <c r="E64" s="338">
        <v>21503.9</v>
      </c>
      <c r="F64" s="338"/>
      <c r="G64" s="338">
        <v>0</v>
      </c>
      <c r="H64" s="354"/>
      <c r="I64" s="354">
        <v>40909.9</v>
      </c>
      <c r="J64" s="354"/>
      <c r="K64" s="354">
        <v>14139.14</v>
      </c>
      <c r="L64" s="354"/>
      <c r="M64" s="354">
        <v>19752.47</v>
      </c>
      <c r="N64" s="354"/>
      <c r="O64" s="354">
        <v>5889.9</v>
      </c>
      <c r="P64" s="354"/>
      <c r="Q64" s="354">
        <v>46361.48</v>
      </c>
      <c r="R64" s="354"/>
      <c r="S64" s="354">
        <v>28408.04</v>
      </c>
      <c r="T64" s="355">
        <v>102195.31</v>
      </c>
      <c r="U64" s="355">
        <v>28801.26</v>
      </c>
      <c r="V64" s="355"/>
      <c r="W64" s="355">
        <v>24592.959999999999</v>
      </c>
      <c r="X64" s="355"/>
      <c r="Y64" s="355">
        <v>6960.25</v>
      </c>
      <c r="Z64" s="355">
        <v>0</v>
      </c>
      <c r="AA64" s="355">
        <v>0</v>
      </c>
      <c r="AB64" s="355">
        <v>80</v>
      </c>
      <c r="AC64" s="338">
        <f t="shared" si="0"/>
        <v>252063.71999999994</v>
      </c>
    </row>
    <row r="65" spans="1:29" x14ac:dyDescent="0.6">
      <c r="A65" s="352" t="s">
        <v>79</v>
      </c>
      <c r="B65" s="353">
        <f>'2013-2014'!AC63</f>
        <v>182653.97999999998</v>
      </c>
      <c r="C65" s="353"/>
      <c r="D65" s="353"/>
      <c r="E65" s="338">
        <v>0</v>
      </c>
      <c r="F65" s="338"/>
      <c r="G65" s="338">
        <v>0</v>
      </c>
      <c r="H65" s="354"/>
      <c r="I65" s="354">
        <v>0</v>
      </c>
      <c r="J65" s="354"/>
      <c r="K65" s="354">
        <v>0</v>
      </c>
      <c r="L65" s="354"/>
      <c r="M65" s="354">
        <v>0</v>
      </c>
      <c r="N65" s="354"/>
      <c r="O65" s="354">
        <v>0</v>
      </c>
      <c r="P65" s="354"/>
      <c r="Q65" s="354">
        <v>0</v>
      </c>
      <c r="R65" s="354"/>
      <c r="S65" s="354">
        <v>0</v>
      </c>
      <c r="T65" s="355"/>
      <c r="U65" s="355">
        <v>0</v>
      </c>
      <c r="V65" s="355"/>
      <c r="W65" s="355">
        <v>0</v>
      </c>
      <c r="X65" s="355"/>
      <c r="Y65" s="355">
        <v>0</v>
      </c>
      <c r="Z65" s="355"/>
      <c r="AA65" s="355">
        <v>0</v>
      </c>
      <c r="AB65" s="355">
        <v>0</v>
      </c>
      <c r="AC65" s="338">
        <f t="shared" si="0"/>
        <v>182653.97999999998</v>
      </c>
    </row>
    <row r="66" spans="1:29" x14ac:dyDescent="0.6">
      <c r="A66" s="352" t="s">
        <v>93</v>
      </c>
      <c r="B66" s="353">
        <f>'2013-2014'!AC67</f>
        <v>143834.67000000001</v>
      </c>
      <c r="C66" s="353"/>
      <c r="D66" s="353"/>
      <c r="E66" s="338">
        <v>0</v>
      </c>
      <c r="F66" s="338"/>
      <c r="G66" s="338">
        <v>0</v>
      </c>
      <c r="H66" s="354"/>
      <c r="I66" s="354">
        <v>0</v>
      </c>
      <c r="J66" s="354"/>
      <c r="K66" s="354">
        <v>0</v>
      </c>
      <c r="L66" s="354"/>
      <c r="M66" s="354">
        <v>0</v>
      </c>
      <c r="N66" s="354"/>
      <c r="O66" s="354">
        <v>0</v>
      </c>
      <c r="P66" s="354"/>
      <c r="Q66" s="354">
        <v>0</v>
      </c>
      <c r="R66" s="354"/>
      <c r="S66" s="354">
        <v>0</v>
      </c>
      <c r="T66" s="355"/>
      <c r="U66" s="355">
        <v>0</v>
      </c>
      <c r="V66" s="355"/>
      <c r="W66" s="355">
        <v>0</v>
      </c>
      <c r="X66" s="355"/>
      <c r="Y66" s="355">
        <v>0</v>
      </c>
      <c r="Z66" s="355"/>
      <c r="AA66" s="355">
        <v>0</v>
      </c>
      <c r="AB66" s="355">
        <v>0</v>
      </c>
      <c r="AC66" s="338">
        <f t="shared" si="0"/>
        <v>143834.67000000001</v>
      </c>
    </row>
    <row r="67" spans="1:29" x14ac:dyDescent="0.6">
      <c r="A67" s="352" t="s">
        <v>310</v>
      </c>
      <c r="B67" s="353">
        <f>'2013-2014'!AC62</f>
        <v>202993.29000000015</v>
      </c>
      <c r="C67" s="353"/>
      <c r="D67" s="353">
        <v>168368.36</v>
      </c>
      <c r="E67" s="338">
        <v>125550.63</v>
      </c>
      <c r="F67" s="338"/>
      <c r="G67" s="338">
        <v>271813.08</v>
      </c>
      <c r="H67" s="354">
        <f>125550.63+271813.08</f>
        <v>397363.71</v>
      </c>
      <c r="I67" s="354">
        <v>-45604.45</v>
      </c>
      <c r="J67" s="354"/>
      <c r="K67" s="354">
        <v>143633.99</v>
      </c>
      <c r="L67" s="354"/>
      <c r="M67" s="354">
        <v>178169.94</v>
      </c>
      <c r="N67" s="354">
        <v>34624.870000000003</v>
      </c>
      <c r="O67" s="354">
        <v>191612.18</v>
      </c>
      <c r="P67" s="354">
        <v>276199.48</v>
      </c>
      <c r="Q67" s="354">
        <v>667173.55000000005</v>
      </c>
      <c r="R67" s="354">
        <v>191612.18</v>
      </c>
      <c r="S67" s="354">
        <v>461495.51</v>
      </c>
      <c r="T67" s="355"/>
      <c r="U67" s="355">
        <v>301417.06</v>
      </c>
      <c r="V67" s="355">
        <v>1128669.06</v>
      </c>
      <c r="W67" s="355">
        <v>292273.78000000003</v>
      </c>
      <c r="X67" s="355">
        <f>301417.06+292273.78</f>
        <v>593690.84000000008</v>
      </c>
      <c r="Y67" s="355">
        <v>295855.93</v>
      </c>
      <c r="Z67" s="355"/>
      <c r="AA67" s="355">
        <v>178137.48</v>
      </c>
      <c r="AB67" s="355">
        <v>119207.23</v>
      </c>
      <c r="AC67" s="338">
        <f t="shared" si="0"/>
        <v>593200.7000000003</v>
      </c>
    </row>
    <row r="68" spans="1:29" x14ac:dyDescent="0.6">
      <c r="A68" s="352" t="s">
        <v>78</v>
      </c>
      <c r="B68" s="353">
        <f>'2013-2014'!AC48</f>
        <v>121343.45000000003</v>
      </c>
      <c r="C68" s="353"/>
      <c r="D68" s="353"/>
      <c r="E68" s="338">
        <v>0</v>
      </c>
      <c r="F68" s="338"/>
      <c r="G68" s="338">
        <v>0</v>
      </c>
      <c r="H68" s="354">
        <v>0</v>
      </c>
      <c r="I68" s="354">
        <v>0</v>
      </c>
      <c r="J68" s="354"/>
      <c r="K68" s="354">
        <v>0</v>
      </c>
      <c r="L68" s="354"/>
      <c r="M68" s="354">
        <v>0</v>
      </c>
      <c r="N68" s="354">
        <v>121343.45</v>
      </c>
      <c r="O68" s="354">
        <v>0</v>
      </c>
      <c r="P68" s="354"/>
      <c r="Q68" s="354">
        <v>0</v>
      </c>
      <c r="R68" s="354"/>
      <c r="S68" s="354">
        <v>0</v>
      </c>
      <c r="T68" s="355"/>
      <c r="U68" s="355">
        <v>0</v>
      </c>
      <c r="V68" s="355"/>
      <c r="W68" s="355">
        <v>0</v>
      </c>
      <c r="X68" s="355"/>
      <c r="Y68" s="355">
        <v>0</v>
      </c>
      <c r="Z68" s="355"/>
      <c r="AA68" s="355">
        <v>0</v>
      </c>
      <c r="AB68" s="355">
        <v>0</v>
      </c>
      <c r="AC68" s="338">
        <f t="shared" si="0"/>
        <v>2.9103830456733704E-11</v>
      </c>
    </row>
    <row r="69" spans="1:29" x14ac:dyDescent="0.6">
      <c r="A69" s="352" t="s">
        <v>187</v>
      </c>
      <c r="B69" s="353">
        <f>'2013-2014'!AC37</f>
        <v>119312.08000000031</v>
      </c>
      <c r="C69" s="353"/>
      <c r="D69" s="353"/>
      <c r="E69" s="338">
        <v>0</v>
      </c>
      <c r="F69" s="338"/>
      <c r="G69" s="338">
        <v>0</v>
      </c>
      <c r="H69" s="354"/>
      <c r="I69" s="354">
        <v>0</v>
      </c>
      <c r="J69" s="354"/>
      <c r="K69" s="354">
        <v>0</v>
      </c>
      <c r="L69" s="354"/>
      <c r="M69" s="354">
        <v>0</v>
      </c>
      <c r="N69" s="354"/>
      <c r="O69" s="354">
        <v>0</v>
      </c>
      <c r="P69" s="354"/>
      <c r="Q69" s="354">
        <v>0</v>
      </c>
      <c r="R69" s="354"/>
      <c r="S69" s="354">
        <v>0</v>
      </c>
      <c r="T69" s="355"/>
      <c r="U69" s="355">
        <v>0</v>
      </c>
      <c r="V69" s="355"/>
      <c r="W69" s="355">
        <v>0</v>
      </c>
      <c r="X69" s="355"/>
      <c r="Y69" s="355">
        <v>0</v>
      </c>
      <c r="Z69" s="355"/>
      <c r="AA69" s="355">
        <v>0</v>
      </c>
      <c r="AB69" s="355">
        <v>0</v>
      </c>
      <c r="AC69" s="338">
        <f t="shared" si="0"/>
        <v>119312.08000000031</v>
      </c>
    </row>
    <row r="70" spans="1:29" x14ac:dyDescent="0.6">
      <c r="A70" s="359" t="s">
        <v>314</v>
      </c>
      <c r="B70" s="353">
        <f>'2013-2014'!AC95</f>
        <v>77733.88</v>
      </c>
      <c r="C70" s="353"/>
      <c r="D70" s="360"/>
      <c r="E70" s="361">
        <v>0</v>
      </c>
      <c r="F70" s="361"/>
      <c r="G70" s="361">
        <v>0</v>
      </c>
      <c r="H70" s="362"/>
      <c r="I70" s="362">
        <v>6749.43</v>
      </c>
      <c r="J70" s="362"/>
      <c r="K70" s="362">
        <v>0</v>
      </c>
      <c r="L70" s="362"/>
      <c r="M70" s="362">
        <v>13346.77</v>
      </c>
      <c r="N70" s="362"/>
      <c r="O70" s="362">
        <v>3247.18</v>
      </c>
      <c r="P70" s="362"/>
      <c r="Q70" s="354">
        <v>0</v>
      </c>
      <c r="R70" s="362"/>
      <c r="S70" s="362">
        <v>0</v>
      </c>
      <c r="T70" s="363"/>
      <c r="U70" s="363">
        <v>0</v>
      </c>
      <c r="V70" s="363"/>
      <c r="W70" s="363">
        <v>1734.11</v>
      </c>
      <c r="X70" s="363"/>
      <c r="Y70" s="363">
        <v>0</v>
      </c>
      <c r="Z70" s="363"/>
      <c r="AA70" s="363">
        <v>0</v>
      </c>
      <c r="AB70" s="363">
        <v>0</v>
      </c>
      <c r="AC70" s="338">
        <f t="shared" si="0"/>
        <v>102811.37</v>
      </c>
    </row>
    <row r="71" spans="1:29" x14ac:dyDescent="0.6">
      <c r="A71" s="359" t="s">
        <v>83</v>
      </c>
      <c r="B71" s="353">
        <f>'2013-2014'!AC93</f>
        <v>26478.15000000002</v>
      </c>
      <c r="C71" s="353"/>
      <c r="D71" s="360"/>
      <c r="E71" s="361">
        <v>26623.85</v>
      </c>
      <c r="F71" s="361"/>
      <c r="G71" s="361">
        <v>24896.77</v>
      </c>
      <c r="H71" s="362">
        <v>26623.85</v>
      </c>
      <c r="I71" s="362">
        <v>24093.65</v>
      </c>
      <c r="J71" s="362">
        <v>24896.77</v>
      </c>
      <c r="K71" s="362">
        <v>24896.77</v>
      </c>
      <c r="L71" s="362"/>
      <c r="M71" s="362">
        <v>24896.77</v>
      </c>
      <c r="N71" s="362"/>
      <c r="O71" s="362">
        <v>48251.040000000001</v>
      </c>
      <c r="P71" s="362">
        <v>73887.19</v>
      </c>
      <c r="Q71" s="354">
        <v>53018.43</v>
      </c>
      <c r="R71" s="362"/>
      <c r="S71" s="362">
        <v>44347.05</v>
      </c>
      <c r="T71" s="363"/>
      <c r="U71" s="363">
        <v>28898.93</v>
      </c>
      <c r="V71" s="363"/>
      <c r="W71" s="363">
        <v>32161.4</v>
      </c>
      <c r="X71" s="363">
        <v>73245.98</v>
      </c>
      <c r="Y71" s="363">
        <v>28131.73</v>
      </c>
      <c r="Z71" s="363">
        <f>32161.4</f>
        <v>32161.4</v>
      </c>
      <c r="AA71" s="363">
        <v>49774.67</v>
      </c>
      <c r="AB71" s="363">
        <v>17361.939999999999</v>
      </c>
      <c r="AC71" s="338">
        <f t="shared" ref="AC71:AC103" si="1">B71-C71-D71+E71-F71+G71-H71+I71-J71+K71-L71+M71-N71+O71-P71+Q71-R71+S71-T71+U71-V71+W71-X71+Y71-Z71+AA71+AB71</f>
        <v>223015.96000000002</v>
      </c>
    </row>
    <row r="72" spans="1:29" x14ac:dyDescent="0.6">
      <c r="A72" s="364" t="s">
        <v>112</v>
      </c>
      <c r="B72" s="353">
        <f>'2013-2014'!AC74</f>
        <v>54257.82</v>
      </c>
      <c r="C72" s="353"/>
      <c r="D72" s="353"/>
      <c r="E72" s="338">
        <v>0</v>
      </c>
      <c r="F72" s="338"/>
      <c r="G72" s="338">
        <v>0</v>
      </c>
      <c r="H72" s="354"/>
      <c r="I72" s="354">
        <v>0</v>
      </c>
      <c r="J72" s="354"/>
      <c r="K72" s="354">
        <v>0</v>
      </c>
      <c r="L72" s="354"/>
      <c r="M72" s="354">
        <v>0</v>
      </c>
      <c r="N72" s="354"/>
      <c r="O72" s="354">
        <v>0</v>
      </c>
      <c r="P72" s="354"/>
      <c r="Q72" s="354">
        <v>0</v>
      </c>
      <c r="R72" s="354"/>
      <c r="S72" s="354">
        <v>0</v>
      </c>
      <c r="T72" s="355"/>
      <c r="U72" s="355">
        <v>0</v>
      </c>
      <c r="V72" s="355"/>
      <c r="W72" s="355">
        <v>0</v>
      </c>
      <c r="X72" s="355"/>
      <c r="Y72" s="355">
        <v>0</v>
      </c>
      <c r="Z72" s="355"/>
      <c r="AA72" s="355">
        <v>0</v>
      </c>
      <c r="AB72" s="355">
        <v>0</v>
      </c>
      <c r="AC72" s="338">
        <f t="shared" si="1"/>
        <v>54257.82</v>
      </c>
    </row>
    <row r="73" spans="1:29" x14ac:dyDescent="0.6">
      <c r="A73" s="352" t="s">
        <v>190</v>
      </c>
      <c r="B73" s="353">
        <f>'2013-2014'!AC75</f>
        <v>50893.020000000004</v>
      </c>
      <c r="C73" s="353"/>
      <c r="D73" s="353"/>
      <c r="E73" s="338">
        <v>0</v>
      </c>
      <c r="F73" s="338"/>
      <c r="G73" s="338">
        <v>0</v>
      </c>
      <c r="H73" s="354"/>
      <c r="I73" s="354">
        <v>0</v>
      </c>
      <c r="J73" s="354"/>
      <c r="K73" s="354">
        <v>0</v>
      </c>
      <c r="L73" s="354"/>
      <c r="M73" s="354">
        <v>0</v>
      </c>
      <c r="N73" s="354"/>
      <c r="O73" s="354">
        <v>0</v>
      </c>
      <c r="P73" s="354"/>
      <c r="Q73" s="354">
        <v>0</v>
      </c>
      <c r="R73" s="354"/>
      <c r="S73" s="354">
        <v>0</v>
      </c>
      <c r="T73" s="355"/>
      <c r="U73" s="355">
        <v>0</v>
      </c>
      <c r="V73" s="355"/>
      <c r="W73" s="355">
        <v>0</v>
      </c>
      <c r="X73" s="355"/>
      <c r="Y73" s="355">
        <v>0</v>
      </c>
      <c r="Z73" s="355"/>
      <c r="AA73" s="355">
        <v>0</v>
      </c>
      <c r="AB73" s="355">
        <v>0</v>
      </c>
      <c r="AC73" s="338">
        <f t="shared" si="1"/>
        <v>50893.020000000004</v>
      </c>
    </row>
    <row r="74" spans="1:29" x14ac:dyDescent="0.6">
      <c r="A74" s="352" t="s">
        <v>195</v>
      </c>
      <c r="B74" s="353">
        <f>'2013-2014'!AC76</f>
        <v>46506.37</v>
      </c>
      <c r="C74" s="353"/>
      <c r="D74" s="353"/>
      <c r="E74" s="338">
        <v>0</v>
      </c>
      <c r="F74" s="338"/>
      <c r="G74" s="338">
        <v>0</v>
      </c>
      <c r="H74" s="354"/>
      <c r="I74" s="354">
        <v>0</v>
      </c>
      <c r="J74" s="354"/>
      <c r="K74" s="354">
        <v>0</v>
      </c>
      <c r="L74" s="354"/>
      <c r="M74" s="354">
        <v>0</v>
      </c>
      <c r="N74" s="354"/>
      <c r="O74" s="354">
        <v>0</v>
      </c>
      <c r="P74" s="354"/>
      <c r="Q74" s="354">
        <v>0</v>
      </c>
      <c r="R74" s="354"/>
      <c r="S74" s="354">
        <v>0</v>
      </c>
      <c r="T74" s="355"/>
      <c r="U74" s="355">
        <v>0</v>
      </c>
      <c r="V74" s="355"/>
      <c r="W74" s="355">
        <v>0</v>
      </c>
      <c r="X74" s="355"/>
      <c r="Y74" s="355">
        <v>0</v>
      </c>
      <c r="Z74" s="355"/>
      <c r="AA74" s="355">
        <v>0</v>
      </c>
      <c r="AB74" s="355">
        <v>0</v>
      </c>
      <c r="AC74" s="338">
        <f t="shared" si="1"/>
        <v>46506.37</v>
      </c>
    </row>
    <row r="75" spans="1:29" x14ac:dyDescent="0.6">
      <c r="A75" s="352" t="s">
        <v>52</v>
      </c>
      <c r="B75" s="353">
        <f>'2013-2014'!AC32</f>
        <v>1060281.2600000002</v>
      </c>
      <c r="C75" s="353">
        <v>0</v>
      </c>
      <c r="D75" s="353"/>
      <c r="E75" s="338">
        <v>5172.32</v>
      </c>
      <c r="F75" s="338"/>
      <c r="G75" s="338">
        <v>10004.200000000001</v>
      </c>
      <c r="H75" s="354"/>
      <c r="I75" s="354">
        <v>5172.32</v>
      </c>
      <c r="J75" s="354"/>
      <c r="K75" s="354">
        <v>5344.73</v>
      </c>
      <c r="L75" s="354">
        <f>3217.17+10004.2+25182.08</f>
        <v>38403.450000000004</v>
      </c>
      <c r="M75" s="354">
        <v>5344.73</v>
      </c>
      <c r="N75" s="354"/>
      <c r="O75" s="354">
        <v>5780.59</v>
      </c>
      <c r="P75" s="354">
        <v>15861.78</v>
      </c>
      <c r="Q75" s="354">
        <v>5829.11</v>
      </c>
      <c r="R75" s="354"/>
      <c r="S75" s="354">
        <v>18926.12</v>
      </c>
      <c r="T75" s="355"/>
      <c r="U75" s="355">
        <v>9502.02</v>
      </c>
      <c r="V75" s="355"/>
      <c r="W75" s="355">
        <v>6948.76</v>
      </c>
      <c r="X75" s="355">
        <f>28428.14</f>
        <v>28428.14</v>
      </c>
      <c r="Y75" s="355">
        <v>7622.32</v>
      </c>
      <c r="Z75" s="355">
        <f>6948.76+1010.5</f>
        <v>7959.26</v>
      </c>
      <c r="AA75" s="355">
        <v>3620.62</v>
      </c>
      <c r="AB75" s="355">
        <v>4773.74</v>
      </c>
      <c r="AC75" s="338">
        <f t="shared" si="1"/>
        <v>1063670.2100000009</v>
      </c>
    </row>
    <row r="76" spans="1:29" x14ac:dyDescent="0.6">
      <c r="A76" s="352" t="s">
        <v>55</v>
      </c>
      <c r="B76" s="353">
        <f>'2013-2014'!AC77</f>
        <v>41234.68</v>
      </c>
      <c r="C76" s="353"/>
      <c r="D76" s="353"/>
      <c r="E76" s="338">
        <v>0</v>
      </c>
      <c r="F76" s="338"/>
      <c r="G76" s="338">
        <v>0</v>
      </c>
      <c r="H76" s="354"/>
      <c r="I76" s="354">
        <v>0</v>
      </c>
      <c r="J76" s="354"/>
      <c r="K76" s="354">
        <v>0</v>
      </c>
      <c r="L76" s="354"/>
      <c r="M76" s="354">
        <v>0</v>
      </c>
      <c r="N76" s="354"/>
      <c r="O76" s="354">
        <v>0</v>
      </c>
      <c r="P76" s="354"/>
      <c r="Q76" s="354">
        <v>0</v>
      </c>
      <c r="R76" s="354"/>
      <c r="S76" s="354">
        <v>0</v>
      </c>
      <c r="T76" s="355"/>
      <c r="U76" s="355">
        <v>0</v>
      </c>
      <c r="V76" s="355"/>
      <c r="W76" s="355">
        <v>0</v>
      </c>
      <c r="X76" s="355"/>
      <c r="Y76" s="355">
        <v>0</v>
      </c>
      <c r="Z76" s="355"/>
      <c r="AA76" s="355">
        <v>0</v>
      </c>
      <c r="AB76" s="355">
        <v>0</v>
      </c>
      <c r="AC76" s="338">
        <f t="shared" si="1"/>
        <v>41234.68</v>
      </c>
    </row>
    <row r="77" spans="1:29" x14ac:dyDescent="0.6">
      <c r="A77" s="359" t="s">
        <v>311</v>
      </c>
      <c r="B77" s="353">
        <f>'2013-2014'!AC82</f>
        <v>6432.1</v>
      </c>
      <c r="C77" s="353"/>
      <c r="D77" s="360"/>
      <c r="E77" s="361">
        <v>0</v>
      </c>
      <c r="F77" s="361"/>
      <c r="G77" s="361">
        <v>0</v>
      </c>
      <c r="H77" s="362"/>
      <c r="I77" s="362">
        <v>33152.97</v>
      </c>
      <c r="J77" s="362"/>
      <c r="K77" s="362">
        <v>0</v>
      </c>
      <c r="L77" s="362"/>
      <c r="M77" s="362">
        <v>0</v>
      </c>
      <c r="N77" s="362"/>
      <c r="O77" s="362">
        <v>0</v>
      </c>
      <c r="P77" s="362"/>
      <c r="Q77" s="354">
        <v>0</v>
      </c>
      <c r="R77" s="362"/>
      <c r="S77" s="362">
        <v>0</v>
      </c>
      <c r="T77" s="363"/>
      <c r="U77" s="363">
        <v>0</v>
      </c>
      <c r="V77" s="363"/>
      <c r="W77" s="363">
        <v>0</v>
      </c>
      <c r="X77" s="363"/>
      <c r="Y77" s="363">
        <v>0</v>
      </c>
      <c r="Z77" s="363"/>
      <c r="AA77" s="363">
        <v>0</v>
      </c>
      <c r="AB77" s="363">
        <v>0</v>
      </c>
      <c r="AC77" s="338">
        <f t="shared" si="1"/>
        <v>39585.07</v>
      </c>
    </row>
    <row r="78" spans="1:29" x14ac:dyDescent="0.6">
      <c r="A78" s="352" t="s">
        <v>45</v>
      </c>
      <c r="B78" s="353">
        <f>'2013-2014'!AC71</f>
        <v>32342.21999999999</v>
      </c>
      <c r="C78" s="353"/>
      <c r="D78" s="353">
        <v>15832.98</v>
      </c>
      <c r="E78" s="338">
        <v>11100.3</v>
      </c>
      <c r="F78" s="338"/>
      <c r="G78" s="338">
        <v>10379.57</v>
      </c>
      <c r="H78" s="354"/>
      <c r="I78" s="354">
        <v>10044.75</v>
      </c>
      <c r="J78" s="354"/>
      <c r="K78" s="354">
        <v>10379.57</v>
      </c>
      <c r="L78" s="354">
        <v>21479.87</v>
      </c>
      <c r="M78" s="354">
        <v>16741.240000000002</v>
      </c>
      <c r="N78" s="354"/>
      <c r="O78" s="354">
        <v>38118.019999999997</v>
      </c>
      <c r="P78" s="354"/>
      <c r="Q78" s="354">
        <v>69253.740000000005</v>
      </c>
      <c r="R78" s="354">
        <v>20424.32</v>
      </c>
      <c r="S78" s="354">
        <v>96266.68</v>
      </c>
      <c r="T78" s="355">
        <v>54859.26</v>
      </c>
      <c r="U78" s="355">
        <v>77689.710000000006</v>
      </c>
      <c r="V78" s="355"/>
      <c r="W78" s="355">
        <v>38887.379999999997</v>
      </c>
      <c r="X78" s="355">
        <v>223733.13</v>
      </c>
      <c r="Y78" s="355">
        <v>13973.18</v>
      </c>
      <c r="Z78" s="355"/>
      <c r="AA78" s="355">
        <v>23075.06</v>
      </c>
      <c r="AB78" s="355">
        <v>16992.77</v>
      </c>
      <c r="AC78" s="338">
        <f t="shared" si="1"/>
        <v>128914.62999999999</v>
      </c>
    </row>
    <row r="79" spans="1:29" x14ac:dyDescent="0.6">
      <c r="A79" s="359" t="s">
        <v>191</v>
      </c>
      <c r="B79" s="353">
        <f>'2013-2014'!AC85</f>
        <v>9876.4699999999993</v>
      </c>
      <c r="C79" s="353"/>
      <c r="D79" s="360"/>
      <c r="E79" s="361">
        <v>5319.2</v>
      </c>
      <c r="F79" s="361"/>
      <c r="G79" s="361">
        <v>5496.5</v>
      </c>
      <c r="H79" s="362"/>
      <c r="I79" s="362">
        <v>9840.06</v>
      </c>
      <c r="J79" s="362"/>
      <c r="K79" s="362">
        <v>5496.5</v>
      </c>
      <c r="L79" s="362"/>
      <c r="M79" s="362">
        <v>5496.5</v>
      </c>
      <c r="N79" s="362"/>
      <c r="O79" s="362">
        <v>7801.49</v>
      </c>
      <c r="P79" s="362"/>
      <c r="Q79" s="354">
        <v>24649.81</v>
      </c>
      <c r="R79" s="362"/>
      <c r="S79" s="362">
        <v>16283.35</v>
      </c>
      <c r="T79" s="363"/>
      <c r="U79" s="363">
        <v>6893.5</v>
      </c>
      <c r="V79" s="363"/>
      <c r="W79" s="363">
        <v>5496.5</v>
      </c>
      <c r="X79" s="363"/>
      <c r="Y79" s="363">
        <v>4964.58</v>
      </c>
      <c r="Z79" s="363"/>
      <c r="AA79" s="363">
        <v>3723.44</v>
      </c>
      <c r="AB79" s="363">
        <v>1773.07</v>
      </c>
      <c r="AC79" s="338">
        <f t="shared" si="1"/>
        <v>113110.97000000002</v>
      </c>
    </row>
    <row r="80" spans="1:29" x14ac:dyDescent="0.6">
      <c r="A80" s="352" t="s">
        <v>309</v>
      </c>
      <c r="B80" s="353">
        <f>'2013-2014'!AC46</f>
        <v>31622.360000000004</v>
      </c>
      <c r="C80" s="353"/>
      <c r="D80" s="353"/>
      <c r="E80" s="338">
        <v>0</v>
      </c>
      <c r="F80" s="338"/>
      <c r="G80" s="338">
        <v>0</v>
      </c>
      <c r="H80" s="354"/>
      <c r="I80" s="354">
        <v>0</v>
      </c>
      <c r="J80" s="354"/>
      <c r="K80" s="354">
        <v>0</v>
      </c>
      <c r="L80" s="354"/>
      <c r="M80" s="354">
        <v>0</v>
      </c>
      <c r="N80" s="354"/>
      <c r="O80" s="354">
        <v>0</v>
      </c>
      <c r="P80" s="354"/>
      <c r="Q80" s="354">
        <v>0</v>
      </c>
      <c r="R80" s="354"/>
      <c r="S80" s="354">
        <v>0</v>
      </c>
      <c r="T80" s="355"/>
      <c r="U80" s="355">
        <v>0</v>
      </c>
      <c r="V80" s="355"/>
      <c r="W80" s="355">
        <v>0</v>
      </c>
      <c r="X80" s="355"/>
      <c r="Y80" s="355">
        <v>0</v>
      </c>
      <c r="Z80" s="355"/>
      <c r="AA80" s="355">
        <v>0</v>
      </c>
      <c r="AB80" s="355">
        <v>0</v>
      </c>
      <c r="AC80" s="338">
        <f t="shared" si="1"/>
        <v>31622.360000000004</v>
      </c>
    </row>
    <row r="81" spans="1:187" x14ac:dyDescent="0.6">
      <c r="A81" s="352" t="s">
        <v>197</v>
      </c>
      <c r="B81" s="353">
        <f>'2013-2014'!AC78</f>
        <v>30182.73</v>
      </c>
      <c r="C81" s="353"/>
      <c r="D81" s="353"/>
      <c r="E81" s="338">
        <v>0</v>
      </c>
      <c r="F81" s="338"/>
      <c r="G81" s="338">
        <v>0</v>
      </c>
      <c r="H81" s="354"/>
      <c r="I81" s="354">
        <v>0</v>
      </c>
      <c r="J81" s="354"/>
      <c r="K81" s="354">
        <v>0</v>
      </c>
      <c r="L81" s="354"/>
      <c r="M81" s="354">
        <v>0</v>
      </c>
      <c r="N81" s="354"/>
      <c r="O81" s="354">
        <v>0</v>
      </c>
      <c r="P81" s="354"/>
      <c r="Q81" s="354">
        <v>0</v>
      </c>
      <c r="R81" s="354"/>
      <c r="S81" s="354">
        <v>0</v>
      </c>
      <c r="T81" s="355"/>
      <c r="U81" s="355">
        <v>0</v>
      </c>
      <c r="V81" s="355"/>
      <c r="W81" s="355">
        <v>0</v>
      </c>
      <c r="X81" s="355"/>
      <c r="Y81" s="355">
        <v>0</v>
      </c>
      <c r="Z81" s="355"/>
      <c r="AA81" s="355">
        <v>0</v>
      </c>
      <c r="AB81" s="355">
        <v>0</v>
      </c>
      <c r="AC81" s="338">
        <f t="shared" si="1"/>
        <v>30182.73</v>
      </c>
      <c r="AH81" s="682"/>
      <c r="AI81" s="682"/>
      <c r="AJ81" s="682"/>
      <c r="AK81" s="682"/>
      <c r="AL81" s="682"/>
      <c r="AM81" s="682"/>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c r="CC81" s="682"/>
      <c r="CD81" s="682"/>
      <c r="CE81" s="682"/>
      <c r="CF81" s="682"/>
      <c r="CG81" s="682"/>
      <c r="CH81" s="682"/>
      <c r="CI81" s="682"/>
      <c r="CJ81" s="682"/>
      <c r="CK81" s="682"/>
      <c r="CL81" s="682"/>
      <c r="CM81" s="682"/>
      <c r="CN81" s="682"/>
      <c r="CO81" s="682"/>
      <c r="CP81" s="682"/>
      <c r="CQ81" s="682"/>
      <c r="CR81" s="682"/>
      <c r="CS81" s="682"/>
      <c r="CT81" s="682"/>
      <c r="CU81" s="682"/>
      <c r="CV81" s="682"/>
      <c r="CW81" s="682"/>
      <c r="CX81" s="682"/>
      <c r="CY81" s="682"/>
      <c r="CZ81" s="682"/>
      <c r="DA81" s="682"/>
      <c r="DB81" s="682"/>
      <c r="DC81" s="682"/>
      <c r="DD81" s="682"/>
      <c r="DE81" s="682"/>
      <c r="DF81" s="682"/>
      <c r="DG81" s="682"/>
      <c r="DH81" s="682"/>
      <c r="DI81" s="682"/>
      <c r="DJ81" s="682"/>
      <c r="DK81" s="682"/>
      <c r="DL81" s="682"/>
      <c r="DM81" s="682"/>
      <c r="DN81" s="682"/>
      <c r="DO81" s="682"/>
      <c r="DP81" s="682"/>
      <c r="DQ81" s="682"/>
      <c r="DR81" s="682"/>
      <c r="DS81" s="682"/>
      <c r="DT81" s="682"/>
      <c r="DU81" s="682"/>
      <c r="DV81" s="682"/>
      <c r="DW81" s="682"/>
      <c r="DX81" s="682"/>
      <c r="DY81" s="682"/>
      <c r="DZ81" s="682"/>
      <c r="EA81" s="682"/>
      <c r="EB81" s="682"/>
      <c r="EC81" s="682"/>
      <c r="ED81" s="682"/>
      <c r="EE81" s="682"/>
      <c r="EF81" s="682"/>
      <c r="EG81" s="682"/>
      <c r="EH81" s="682"/>
      <c r="EI81" s="682"/>
      <c r="EJ81" s="682"/>
      <c r="EK81" s="682"/>
      <c r="EL81" s="682"/>
      <c r="EM81" s="682"/>
      <c r="EN81" s="682"/>
      <c r="EO81" s="682"/>
      <c r="EP81" s="682"/>
      <c r="EQ81" s="682"/>
      <c r="ER81" s="682"/>
      <c r="ES81" s="682"/>
      <c r="ET81" s="682"/>
      <c r="EU81" s="682"/>
      <c r="EV81" s="682"/>
      <c r="EW81" s="682"/>
      <c r="EX81" s="682"/>
      <c r="EY81" s="682"/>
      <c r="EZ81" s="682"/>
      <c r="FA81" s="682"/>
      <c r="FB81" s="682"/>
      <c r="FC81" s="682"/>
      <c r="FD81" s="682"/>
      <c r="FE81" s="682"/>
      <c r="FF81" s="682"/>
      <c r="FG81" s="682"/>
      <c r="FH81" s="682"/>
      <c r="FI81" s="682"/>
      <c r="FJ81" s="682"/>
      <c r="FK81" s="682"/>
      <c r="FL81" s="682"/>
      <c r="FM81" s="682"/>
      <c r="FN81" s="682"/>
      <c r="FO81" s="682"/>
      <c r="FP81" s="682"/>
      <c r="FQ81" s="682"/>
      <c r="FR81" s="682"/>
      <c r="FS81" s="682"/>
      <c r="FT81" s="682"/>
      <c r="FU81" s="682"/>
      <c r="FV81" s="682"/>
      <c r="FW81" s="682"/>
      <c r="FX81" s="682"/>
      <c r="FY81" s="682"/>
      <c r="FZ81" s="682"/>
      <c r="GA81" s="682"/>
      <c r="GB81" s="682"/>
      <c r="GC81" s="682"/>
      <c r="GD81" s="682"/>
      <c r="GE81" s="682"/>
    </row>
    <row r="82" spans="1:187" x14ac:dyDescent="0.6">
      <c r="A82" s="365" t="s">
        <v>104</v>
      </c>
      <c r="B82" s="353">
        <f>'2013-2014'!AC79</f>
        <v>19279.3</v>
      </c>
      <c r="C82" s="353"/>
      <c r="D82" s="360"/>
      <c r="E82" s="361">
        <v>0</v>
      </c>
      <c r="F82" s="361"/>
      <c r="G82" s="361">
        <v>0</v>
      </c>
      <c r="H82" s="362"/>
      <c r="I82" s="362">
        <v>0</v>
      </c>
      <c r="J82" s="362"/>
      <c r="K82" s="362">
        <v>0</v>
      </c>
      <c r="L82" s="362"/>
      <c r="M82" s="362">
        <v>0</v>
      </c>
      <c r="N82" s="362"/>
      <c r="O82" s="362">
        <v>0</v>
      </c>
      <c r="P82" s="362"/>
      <c r="Q82" s="354">
        <v>0</v>
      </c>
      <c r="R82" s="362"/>
      <c r="S82" s="362">
        <v>0</v>
      </c>
      <c r="T82" s="363"/>
      <c r="U82" s="363">
        <v>0</v>
      </c>
      <c r="V82" s="363"/>
      <c r="W82" s="363">
        <v>0</v>
      </c>
      <c r="X82" s="363"/>
      <c r="Y82" s="363">
        <v>0</v>
      </c>
      <c r="Z82" s="363"/>
      <c r="AA82" s="363">
        <v>0</v>
      </c>
      <c r="AB82" s="363">
        <v>0</v>
      </c>
      <c r="AC82" s="338">
        <f t="shared" si="1"/>
        <v>19279.3</v>
      </c>
      <c r="AH82" s="682"/>
      <c r="AI82" s="682"/>
      <c r="AJ82" s="682"/>
      <c r="AK82" s="682"/>
      <c r="AL82" s="682"/>
      <c r="AM82" s="682"/>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c r="CC82" s="682"/>
      <c r="CD82" s="682"/>
      <c r="CE82" s="682"/>
      <c r="CF82" s="682"/>
      <c r="CG82" s="682"/>
      <c r="CH82" s="682"/>
      <c r="CI82" s="682"/>
      <c r="CJ82" s="682"/>
      <c r="CK82" s="682"/>
      <c r="CL82" s="682"/>
      <c r="CM82" s="682"/>
      <c r="CN82" s="682"/>
      <c r="CO82" s="682"/>
      <c r="CP82" s="682"/>
      <c r="CQ82" s="682"/>
      <c r="CR82" s="682"/>
      <c r="CS82" s="682"/>
      <c r="CT82" s="682"/>
      <c r="CU82" s="682"/>
      <c r="CV82" s="682"/>
      <c r="CW82" s="682"/>
      <c r="CX82" s="682"/>
      <c r="CY82" s="682"/>
      <c r="CZ82" s="682"/>
      <c r="DA82" s="682"/>
      <c r="DB82" s="682"/>
      <c r="DC82" s="682"/>
      <c r="DD82" s="682"/>
      <c r="DE82" s="682"/>
      <c r="DF82" s="682"/>
      <c r="DG82" s="682"/>
      <c r="DH82" s="682"/>
      <c r="DI82" s="682"/>
      <c r="DJ82" s="682"/>
      <c r="DK82" s="682"/>
      <c r="DL82" s="682"/>
      <c r="DM82" s="682"/>
      <c r="DN82" s="682"/>
      <c r="DO82" s="682"/>
      <c r="DP82" s="682"/>
      <c r="DQ82" s="682"/>
      <c r="DR82" s="682"/>
      <c r="DS82" s="682"/>
      <c r="DT82" s="682"/>
      <c r="DU82" s="682"/>
      <c r="DV82" s="682"/>
      <c r="DW82" s="682"/>
      <c r="DX82" s="682"/>
      <c r="DY82" s="682"/>
      <c r="DZ82" s="682"/>
      <c r="EA82" s="682"/>
      <c r="EB82" s="682"/>
      <c r="EC82" s="682"/>
      <c r="ED82" s="682"/>
      <c r="EE82" s="682"/>
      <c r="EF82" s="682"/>
      <c r="EG82" s="682"/>
      <c r="EH82" s="682"/>
      <c r="EI82" s="682"/>
      <c r="EJ82" s="682"/>
      <c r="EK82" s="682"/>
      <c r="EL82" s="682"/>
      <c r="EM82" s="682"/>
      <c r="EN82" s="682"/>
      <c r="EO82" s="682"/>
      <c r="EP82" s="682"/>
      <c r="EQ82" s="682"/>
      <c r="ER82" s="682"/>
      <c r="ES82" s="682"/>
      <c r="ET82" s="682"/>
      <c r="EU82" s="682"/>
      <c r="EV82" s="682"/>
      <c r="EW82" s="682"/>
      <c r="EX82" s="682"/>
      <c r="EY82" s="682"/>
      <c r="EZ82" s="682"/>
      <c r="FA82" s="682"/>
      <c r="FB82" s="682"/>
      <c r="FC82" s="682"/>
      <c r="FD82" s="682"/>
      <c r="FE82" s="682"/>
      <c r="FF82" s="682"/>
      <c r="FG82" s="682"/>
      <c r="FH82" s="682"/>
      <c r="FI82" s="682"/>
      <c r="FJ82" s="682"/>
      <c r="FK82" s="682"/>
      <c r="FL82" s="682"/>
      <c r="FM82" s="682"/>
      <c r="FN82" s="682"/>
      <c r="FO82" s="682"/>
      <c r="FP82" s="682"/>
      <c r="FQ82" s="682"/>
      <c r="FR82" s="682"/>
      <c r="FS82" s="682"/>
      <c r="FT82" s="682"/>
      <c r="FU82" s="682"/>
      <c r="FV82" s="682"/>
      <c r="FW82" s="682"/>
      <c r="FX82" s="682"/>
      <c r="FY82" s="682"/>
      <c r="FZ82" s="682"/>
      <c r="GA82" s="682"/>
      <c r="GB82" s="682"/>
      <c r="GC82" s="682"/>
      <c r="GD82" s="682"/>
      <c r="GE82" s="682"/>
    </row>
    <row r="83" spans="1:187" x14ac:dyDescent="0.6">
      <c r="A83" s="359" t="s">
        <v>316</v>
      </c>
      <c r="B83" s="353">
        <f>'2013-2014'!AC97</f>
        <v>17265.66</v>
      </c>
      <c r="C83" s="353"/>
      <c r="D83" s="360"/>
      <c r="E83" s="361">
        <v>0</v>
      </c>
      <c r="F83" s="361"/>
      <c r="G83" s="361">
        <v>0</v>
      </c>
      <c r="H83" s="362"/>
      <c r="I83" s="362">
        <v>0</v>
      </c>
      <c r="J83" s="362"/>
      <c r="K83" s="362">
        <v>0</v>
      </c>
      <c r="L83" s="362"/>
      <c r="M83" s="362">
        <v>0</v>
      </c>
      <c r="N83" s="362"/>
      <c r="O83" s="362">
        <v>0</v>
      </c>
      <c r="P83" s="362"/>
      <c r="Q83" s="354">
        <v>0</v>
      </c>
      <c r="R83" s="362"/>
      <c r="S83" s="362">
        <v>0</v>
      </c>
      <c r="T83" s="363"/>
      <c r="U83" s="363">
        <v>0</v>
      </c>
      <c r="V83" s="363"/>
      <c r="W83" s="363">
        <v>0</v>
      </c>
      <c r="X83" s="363"/>
      <c r="Y83" s="363">
        <v>0</v>
      </c>
      <c r="Z83" s="363"/>
      <c r="AA83" s="363">
        <v>0</v>
      </c>
      <c r="AB83" s="363">
        <v>0</v>
      </c>
      <c r="AC83" s="338">
        <f t="shared" si="1"/>
        <v>17265.66</v>
      </c>
      <c r="AH83" s="682"/>
      <c r="AI83" s="682"/>
      <c r="AJ83" s="682"/>
      <c r="AK83" s="682"/>
      <c r="AL83" s="682"/>
      <c r="AM83" s="682"/>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c r="CC83" s="682"/>
      <c r="CD83" s="682"/>
      <c r="CE83" s="682"/>
      <c r="CF83" s="682"/>
      <c r="CG83" s="682"/>
      <c r="CH83" s="682"/>
      <c r="CI83" s="682"/>
      <c r="CJ83" s="682"/>
      <c r="CK83" s="682"/>
      <c r="CL83" s="682"/>
      <c r="CM83" s="682"/>
      <c r="CN83" s="682"/>
      <c r="CO83" s="682"/>
      <c r="CP83" s="682"/>
      <c r="CQ83" s="682"/>
      <c r="CR83" s="682"/>
      <c r="CS83" s="682"/>
      <c r="CT83" s="682"/>
      <c r="CU83" s="682"/>
      <c r="CV83" s="682"/>
      <c r="CW83" s="682"/>
      <c r="CX83" s="682"/>
      <c r="CY83" s="682"/>
      <c r="CZ83" s="682"/>
      <c r="DA83" s="682"/>
      <c r="DB83" s="682"/>
      <c r="DC83" s="682"/>
      <c r="DD83" s="682"/>
      <c r="DE83" s="682"/>
      <c r="DF83" s="682"/>
      <c r="DG83" s="682"/>
      <c r="DH83" s="682"/>
      <c r="DI83" s="682"/>
      <c r="DJ83" s="682"/>
      <c r="DK83" s="682"/>
      <c r="DL83" s="682"/>
      <c r="DM83" s="682"/>
      <c r="DN83" s="682"/>
      <c r="DO83" s="682"/>
      <c r="DP83" s="682"/>
      <c r="DQ83" s="682"/>
      <c r="DR83" s="682"/>
      <c r="DS83" s="682"/>
      <c r="DT83" s="682"/>
      <c r="DU83" s="682"/>
      <c r="DV83" s="682"/>
      <c r="DW83" s="682"/>
      <c r="DX83" s="682"/>
      <c r="DY83" s="682"/>
      <c r="DZ83" s="682"/>
      <c r="EA83" s="682"/>
      <c r="EB83" s="682"/>
      <c r="EC83" s="682"/>
      <c r="ED83" s="682"/>
      <c r="EE83" s="682"/>
      <c r="EF83" s="682"/>
      <c r="EG83" s="682"/>
      <c r="EH83" s="682"/>
      <c r="EI83" s="682"/>
      <c r="EJ83" s="682"/>
      <c r="EK83" s="682"/>
      <c r="EL83" s="682"/>
      <c r="EM83" s="682"/>
      <c r="EN83" s="682"/>
      <c r="EO83" s="682"/>
      <c r="EP83" s="682"/>
      <c r="EQ83" s="682"/>
      <c r="ER83" s="682"/>
      <c r="ES83" s="682"/>
      <c r="ET83" s="682"/>
      <c r="EU83" s="682"/>
      <c r="EV83" s="682"/>
      <c r="EW83" s="682"/>
      <c r="EX83" s="682"/>
      <c r="EY83" s="682"/>
      <c r="EZ83" s="682"/>
      <c r="FA83" s="682"/>
      <c r="FB83" s="682"/>
      <c r="FC83" s="682"/>
      <c r="FD83" s="682"/>
      <c r="FE83" s="682"/>
      <c r="FF83" s="682"/>
      <c r="FG83" s="682"/>
      <c r="FH83" s="682"/>
      <c r="FI83" s="682"/>
      <c r="FJ83" s="682"/>
      <c r="FK83" s="682"/>
      <c r="FL83" s="682"/>
      <c r="FM83" s="682"/>
      <c r="FN83" s="682"/>
      <c r="FO83" s="682"/>
      <c r="FP83" s="682"/>
      <c r="FQ83" s="682"/>
      <c r="FR83" s="682"/>
      <c r="FS83" s="682"/>
      <c r="FT83" s="682"/>
      <c r="FU83" s="682"/>
      <c r="FV83" s="682"/>
      <c r="FW83" s="682"/>
      <c r="FX83" s="682"/>
      <c r="FY83" s="682"/>
      <c r="FZ83" s="682"/>
      <c r="GA83" s="682"/>
      <c r="GB83" s="682"/>
      <c r="GC83" s="682"/>
      <c r="GD83" s="682"/>
      <c r="GE83" s="682"/>
    </row>
    <row r="84" spans="1:187" x14ac:dyDescent="0.6">
      <c r="A84" s="359" t="s">
        <v>72</v>
      </c>
      <c r="B84" s="353">
        <f>'2013-2014'!AC80</f>
        <v>172268.19999999998</v>
      </c>
      <c r="C84" s="353"/>
      <c r="D84" s="360">
        <v>66739.039999999994</v>
      </c>
      <c r="E84" s="361">
        <v>33873.25</v>
      </c>
      <c r="F84" s="361"/>
      <c r="G84" s="361">
        <v>27000</v>
      </c>
      <c r="H84" s="362">
        <v>33873.25</v>
      </c>
      <c r="I84" s="362">
        <v>30767.38</v>
      </c>
      <c r="J84" s="362">
        <f>105529.16+27000</f>
        <v>132529.16</v>
      </c>
      <c r="K84" s="362">
        <v>35678.67</v>
      </c>
      <c r="L84" s="362">
        <f>19619.8+29877.72</f>
        <v>49497.520000000004</v>
      </c>
      <c r="M84" s="362">
        <v>27000</v>
      </c>
      <c r="N84" s="362">
        <f>35678.67+27000</f>
        <v>62678.67</v>
      </c>
      <c r="O84" s="362">
        <v>27000</v>
      </c>
      <c r="P84" s="362">
        <v>30767.38</v>
      </c>
      <c r="Q84" s="354">
        <v>107085.04</v>
      </c>
      <c r="R84" s="362">
        <v>27000</v>
      </c>
      <c r="S84" s="362">
        <v>77335.990000000005</v>
      </c>
      <c r="T84" s="363">
        <f>27000+77335.99</f>
        <v>104335.99</v>
      </c>
      <c r="U84" s="363">
        <v>37359.279999999999</v>
      </c>
      <c r="V84" s="363"/>
      <c r="W84" s="363">
        <v>34859.800000000003</v>
      </c>
      <c r="X84" s="363">
        <f>37359.28</f>
        <v>37359.279999999999</v>
      </c>
      <c r="Y84" s="363">
        <v>36941.74</v>
      </c>
      <c r="Z84" s="363">
        <f>34859.8+36941.74</f>
        <v>71801.540000000008</v>
      </c>
      <c r="AA84" s="363">
        <v>27000</v>
      </c>
      <c r="AB84" s="363">
        <v>10743.44</v>
      </c>
      <c r="AC84" s="338">
        <f t="shared" si="1"/>
        <v>68330.959999999934</v>
      </c>
      <c r="AH84" s="682"/>
      <c r="AI84" s="682"/>
      <c r="AJ84" s="682"/>
      <c r="AK84" s="682"/>
      <c r="AL84" s="682"/>
      <c r="AM84" s="682"/>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c r="CC84" s="682"/>
      <c r="CD84" s="682"/>
      <c r="CE84" s="682"/>
      <c r="CF84" s="682"/>
      <c r="CG84" s="682"/>
      <c r="CH84" s="682"/>
      <c r="CI84" s="682"/>
      <c r="CJ84" s="682"/>
      <c r="CK84" s="682"/>
      <c r="CL84" s="682"/>
      <c r="CM84" s="682"/>
      <c r="CN84" s="682"/>
      <c r="CO84" s="682"/>
      <c r="CP84" s="682"/>
      <c r="CQ84" s="682"/>
      <c r="CR84" s="682"/>
      <c r="CS84" s="682"/>
      <c r="CT84" s="682"/>
      <c r="CU84" s="682"/>
      <c r="CV84" s="682"/>
      <c r="CW84" s="682"/>
      <c r="CX84" s="682"/>
      <c r="CY84" s="682"/>
      <c r="CZ84" s="682"/>
      <c r="DA84" s="682"/>
      <c r="DB84" s="682"/>
      <c r="DC84" s="682"/>
      <c r="DD84" s="682"/>
      <c r="DE84" s="682"/>
      <c r="DF84" s="682"/>
      <c r="DG84" s="682"/>
      <c r="DH84" s="682"/>
      <c r="DI84" s="682"/>
      <c r="DJ84" s="682"/>
      <c r="DK84" s="682"/>
      <c r="DL84" s="682"/>
      <c r="DM84" s="682"/>
      <c r="DN84" s="682"/>
      <c r="DO84" s="682"/>
      <c r="DP84" s="682"/>
      <c r="DQ84" s="682"/>
      <c r="DR84" s="682"/>
      <c r="DS84" s="682"/>
      <c r="DT84" s="682"/>
      <c r="DU84" s="682"/>
      <c r="DV84" s="682"/>
      <c r="DW84" s="682"/>
      <c r="DX84" s="682"/>
      <c r="DY84" s="682"/>
      <c r="DZ84" s="682"/>
      <c r="EA84" s="682"/>
      <c r="EB84" s="682"/>
      <c r="EC84" s="682"/>
      <c r="ED84" s="682"/>
      <c r="EE84" s="682"/>
      <c r="EF84" s="682"/>
      <c r="EG84" s="682"/>
      <c r="EH84" s="682"/>
      <c r="EI84" s="682"/>
      <c r="EJ84" s="682"/>
      <c r="EK84" s="682"/>
      <c r="EL84" s="682"/>
      <c r="EM84" s="682"/>
      <c r="EN84" s="682"/>
      <c r="EO84" s="682"/>
      <c r="EP84" s="682"/>
      <c r="EQ84" s="682"/>
      <c r="ER84" s="682"/>
      <c r="ES84" s="682"/>
      <c r="ET84" s="682"/>
      <c r="EU84" s="682"/>
      <c r="EV84" s="682"/>
      <c r="EW84" s="682"/>
      <c r="EX84" s="682"/>
      <c r="EY84" s="682"/>
      <c r="EZ84" s="682"/>
      <c r="FA84" s="682"/>
      <c r="FB84" s="682"/>
      <c r="FC84" s="682"/>
      <c r="FD84" s="682"/>
      <c r="FE84" s="682"/>
      <c r="FF84" s="682"/>
      <c r="FG84" s="682"/>
      <c r="FH84" s="682"/>
      <c r="FI84" s="682"/>
      <c r="FJ84" s="682"/>
      <c r="FK84" s="682"/>
      <c r="FL84" s="682"/>
      <c r="FM84" s="682"/>
      <c r="FN84" s="682"/>
      <c r="FO84" s="682"/>
      <c r="FP84" s="682"/>
      <c r="FQ84" s="682"/>
      <c r="FR84" s="682"/>
      <c r="FS84" s="682"/>
      <c r="FT84" s="682"/>
      <c r="FU84" s="682"/>
      <c r="FV84" s="682"/>
      <c r="FW84" s="682"/>
      <c r="FX84" s="682"/>
      <c r="FY84" s="682"/>
      <c r="FZ84" s="682"/>
      <c r="GA84" s="682"/>
      <c r="GB84" s="682"/>
      <c r="GC84" s="682"/>
      <c r="GD84" s="682"/>
      <c r="GE84" s="682"/>
    </row>
    <row r="85" spans="1:187" x14ac:dyDescent="0.6">
      <c r="A85" s="359" t="s">
        <v>192</v>
      </c>
      <c r="B85" s="353">
        <f>'2013-2014'!AC81</f>
        <v>14167.500000000002</v>
      </c>
      <c r="C85" s="353"/>
      <c r="D85" s="360"/>
      <c r="E85" s="361">
        <v>0</v>
      </c>
      <c r="F85" s="361"/>
      <c r="G85" s="361">
        <v>0</v>
      </c>
      <c r="H85" s="362"/>
      <c r="I85" s="362">
        <v>0</v>
      </c>
      <c r="J85" s="362"/>
      <c r="K85" s="362">
        <v>0</v>
      </c>
      <c r="L85" s="362"/>
      <c r="M85" s="362">
        <v>0</v>
      </c>
      <c r="N85" s="362"/>
      <c r="O85" s="362">
        <v>0</v>
      </c>
      <c r="P85" s="362"/>
      <c r="Q85" s="354">
        <v>0</v>
      </c>
      <c r="R85" s="362"/>
      <c r="S85" s="362">
        <v>0</v>
      </c>
      <c r="T85" s="363"/>
      <c r="U85" s="363">
        <v>0</v>
      </c>
      <c r="V85" s="363"/>
      <c r="W85" s="363">
        <v>0</v>
      </c>
      <c r="X85" s="363"/>
      <c r="Y85" s="363">
        <v>0</v>
      </c>
      <c r="Z85" s="363"/>
      <c r="AA85" s="363">
        <v>0</v>
      </c>
      <c r="AB85" s="363">
        <v>0</v>
      </c>
      <c r="AC85" s="338">
        <f t="shared" si="1"/>
        <v>14167.500000000002</v>
      </c>
      <c r="AH85" s="682"/>
      <c r="AI85" s="682"/>
      <c r="AJ85" s="682"/>
      <c r="AK85" s="682"/>
      <c r="AL85" s="682"/>
      <c r="AM85" s="682"/>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c r="CC85" s="682"/>
      <c r="CD85" s="682"/>
      <c r="CE85" s="682"/>
      <c r="CF85" s="682"/>
      <c r="CG85" s="682"/>
      <c r="CH85" s="682"/>
      <c r="CI85" s="682"/>
      <c r="CJ85" s="682"/>
      <c r="CK85" s="682"/>
      <c r="CL85" s="682"/>
      <c r="CM85" s="682"/>
      <c r="CN85" s="682"/>
      <c r="CO85" s="682"/>
      <c r="CP85" s="682"/>
      <c r="CQ85" s="682"/>
      <c r="CR85" s="682"/>
      <c r="CS85" s="682"/>
      <c r="CT85" s="682"/>
      <c r="CU85" s="682"/>
      <c r="CV85" s="682"/>
      <c r="CW85" s="682"/>
      <c r="CX85" s="682"/>
      <c r="CY85" s="682"/>
      <c r="CZ85" s="682"/>
      <c r="DA85" s="682"/>
      <c r="DB85" s="682"/>
      <c r="DC85" s="682"/>
      <c r="DD85" s="682"/>
      <c r="DE85" s="682"/>
      <c r="DF85" s="682"/>
      <c r="DG85" s="682"/>
      <c r="DH85" s="682"/>
      <c r="DI85" s="682"/>
      <c r="DJ85" s="682"/>
      <c r="DK85" s="682"/>
      <c r="DL85" s="682"/>
      <c r="DM85" s="682"/>
      <c r="DN85" s="682"/>
      <c r="DO85" s="682"/>
      <c r="DP85" s="682"/>
      <c r="DQ85" s="682"/>
      <c r="DR85" s="682"/>
      <c r="DS85" s="682"/>
      <c r="DT85" s="682"/>
      <c r="DU85" s="682"/>
      <c r="DV85" s="682"/>
      <c r="DW85" s="682"/>
      <c r="DX85" s="682"/>
      <c r="DY85" s="682"/>
      <c r="DZ85" s="682"/>
      <c r="EA85" s="682"/>
      <c r="EB85" s="682"/>
      <c r="EC85" s="682"/>
      <c r="ED85" s="682"/>
      <c r="EE85" s="682"/>
      <c r="EF85" s="682"/>
      <c r="EG85" s="682"/>
      <c r="EH85" s="682"/>
      <c r="EI85" s="682"/>
      <c r="EJ85" s="682"/>
      <c r="EK85" s="682"/>
      <c r="EL85" s="682"/>
      <c r="EM85" s="682"/>
      <c r="EN85" s="682"/>
      <c r="EO85" s="682"/>
      <c r="EP85" s="682"/>
      <c r="EQ85" s="682"/>
      <c r="ER85" s="682"/>
      <c r="ES85" s="682"/>
      <c r="ET85" s="682"/>
      <c r="EU85" s="682"/>
      <c r="EV85" s="682"/>
      <c r="EW85" s="682"/>
      <c r="EX85" s="682"/>
      <c r="EY85" s="682"/>
      <c r="EZ85" s="682"/>
      <c r="FA85" s="682"/>
      <c r="FB85" s="682"/>
      <c r="FC85" s="682"/>
      <c r="FD85" s="682"/>
      <c r="FE85" s="682"/>
      <c r="FF85" s="682"/>
      <c r="FG85" s="682"/>
      <c r="FH85" s="682"/>
      <c r="FI85" s="682"/>
      <c r="FJ85" s="682"/>
      <c r="FK85" s="682"/>
      <c r="FL85" s="682"/>
      <c r="FM85" s="682"/>
      <c r="FN85" s="682"/>
      <c r="FO85" s="682"/>
      <c r="FP85" s="682"/>
      <c r="FQ85" s="682"/>
      <c r="FR85" s="682"/>
      <c r="FS85" s="682"/>
      <c r="FT85" s="682"/>
      <c r="FU85" s="682"/>
      <c r="FV85" s="682"/>
      <c r="FW85" s="682"/>
      <c r="FX85" s="682"/>
      <c r="FY85" s="682"/>
      <c r="FZ85" s="682"/>
      <c r="GA85" s="682"/>
      <c r="GB85" s="682"/>
      <c r="GC85" s="682"/>
      <c r="GD85" s="682"/>
      <c r="GE85" s="682"/>
    </row>
    <row r="86" spans="1:187" x14ac:dyDescent="0.6">
      <c r="A86" s="359" t="s">
        <v>80</v>
      </c>
      <c r="B86" s="353">
        <f>'2013-2014'!AC84</f>
        <v>22323.676000000003</v>
      </c>
      <c r="C86" s="353">
        <v>0</v>
      </c>
      <c r="D86" s="360"/>
      <c r="E86" s="361">
        <v>4644.76</v>
      </c>
      <c r="F86" s="361">
        <f>9187.61+4644.76</f>
        <v>13832.37</v>
      </c>
      <c r="G86" s="361">
        <v>4799.58</v>
      </c>
      <c r="H86" s="362">
        <f>4799.58+10740.1</f>
        <v>15539.68</v>
      </c>
      <c r="I86" s="362">
        <v>4644.76</v>
      </c>
      <c r="J86" s="362"/>
      <c r="K86" s="362">
        <v>4799.58</v>
      </c>
      <c r="L86" s="362"/>
      <c r="M86" s="362">
        <v>4799.58</v>
      </c>
      <c r="N86" s="362">
        <f>9478.2+4799.58</f>
        <v>14277.78</v>
      </c>
      <c r="O86" s="362">
        <v>4644.76</v>
      </c>
      <c r="P86" s="362"/>
      <c r="Q86" s="354">
        <v>11361.88</v>
      </c>
      <c r="R86" s="362">
        <f>4644.76+4799.58</f>
        <v>9444.34</v>
      </c>
      <c r="S86" s="362">
        <v>9218.49</v>
      </c>
      <c r="T86" s="363">
        <v>9218.49</v>
      </c>
      <c r="U86" s="363">
        <v>5519.58</v>
      </c>
      <c r="V86" s="363">
        <v>5519.58</v>
      </c>
      <c r="W86" s="363">
        <v>7296.98</v>
      </c>
      <c r="X86" s="363">
        <v>7296.98</v>
      </c>
      <c r="Y86" s="363">
        <v>5524.36</v>
      </c>
      <c r="Z86" s="363">
        <f>5524.36+6562.3</f>
        <v>12086.66</v>
      </c>
      <c r="AA86" s="363">
        <v>3251.33</v>
      </c>
      <c r="AB86" s="363">
        <v>2849.7</v>
      </c>
      <c r="AC86" s="338">
        <f t="shared" si="1"/>
        <v>8463.1359999999986</v>
      </c>
      <c r="AH86" s="682"/>
      <c r="AI86" s="682"/>
      <c r="AJ86" s="682"/>
      <c r="AK86" s="682"/>
      <c r="AL86" s="682"/>
      <c r="AM86" s="682"/>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c r="CC86" s="682"/>
      <c r="CD86" s="682"/>
      <c r="CE86" s="682"/>
      <c r="CF86" s="682"/>
      <c r="CG86" s="682"/>
      <c r="CH86" s="682"/>
      <c r="CI86" s="682"/>
      <c r="CJ86" s="682"/>
      <c r="CK86" s="682"/>
      <c r="CL86" s="682"/>
      <c r="CM86" s="682"/>
      <c r="CN86" s="682"/>
      <c r="CO86" s="682"/>
      <c r="CP86" s="682"/>
      <c r="CQ86" s="682"/>
      <c r="CR86" s="682"/>
      <c r="CS86" s="682"/>
      <c r="CT86" s="682"/>
      <c r="CU86" s="682"/>
      <c r="CV86" s="682"/>
      <c r="CW86" s="682"/>
      <c r="CX86" s="682"/>
      <c r="CY86" s="682"/>
      <c r="CZ86" s="682"/>
      <c r="DA86" s="682"/>
      <c r="DB86" s="682"/>
      <c r="DC86" s="682"/>
      <c r="DD86" s="682"/>
      <c r="DE86" s="682"/>
      <c r="DF86" s="682"/>
      <c r="DG86" s="682"/>
      <c r="DH86" s="682"/>
      <c r="DI86" s="682"/>
      <c r="DJ86" s="682"/>
      <c r="DK86" s="682"/>
      <c r="DL86" s="682"/>
      <c r="DM86" s="682"/>
      <c r="DN86" s="682"/>
      <c r="DO86" s="682"/>
      <c r="DP86" s="682"/>
      <c r="DQ86" s="682"/>
      <c r="DR86" s="682"/>
      <c r="DS86" s="682"/>
      <c r="DT86" s="682"/>
      <c r="DU86" s="682"/>
      <c r="DV86" s="682"/>
      <c r="DW86" s="682"/>
      <c r="DX86" s="682"/>
      <c r="DY86" s="682"/>
      <c r="DZ86" s="682"/>
      <c r="EA86" s="682"/>
      <c r="EB86" s="682"/>
      <c r="EC86" s="682"/>
      <c r="ED86" s="682"/>
      <c r="EE86" s="682"/>
      <c r="EF86" s="682"/>
      <c r="EG86" s="682"/>
      <c r="EH86" s="682"/>
      <c r="EI86" s="682"/>
      <c r="EJ86" s="682"/>
      <c r="EK86" s="682"/>
      <c r="EL86" s="682"/>
      <c r="EM86" s="682"/>
      <c r="EN86" s="682"/>
      <c r="EO86" s="682"/>
      <c r="EP86" s="682"/>
      <c r="EQ86" s="682"/>
      <c r="ER86" s="682"/>
      <c r="ES86" s="682"/>
      <c r="ET86" s="682"/>
      <c r="EU86" s="682"/>
      <c r="EV86" s="682"/>
      <c r="EW86" s="682"/>
      <c r="EX86" s="682"/>
      <c r="EY86" s="682"/>
      <c r="EZ86" s="682"/>
      <c r="FA86" s="682"/>
      <c r="FB86" s="682"/>
      <c r="FC86" s="682"/>
      <c r="FD86" s="682"/>
      <c r="FE86" s="682"/>
      <c r="FF86" s="682"/>
      <c r="FG86" s="682"/>
      <c r="FH86" s="682"/>
      <c r="FI86" s="682"/>
      <c r="FJ86" s="682"/>
      <c r="FK86" s="682"/>
      <c r="FL86" s="682"/>
      <c r="FM86" s="682"/>
      <c r="FN86" s="682"/>
      <c r="FO86" s="682"/>
      <c r="FP86" s="682"/>
      <c r="FQ86" s="682"/>
      <c r="FR86" s="682"/>
      <c r="FS86" s="682"/>
      <c r="FT86" s="682"/>
      <c r="FU86" s="682"/>
      <c r="FV86" s="682"/>
      <c r="FW86" s="682"/>
      <c r="FX86" s="682"/>
      <c r="FY86" s="682"/>
      <c r="FZ86" s="682"/>
      <c r="GA86" s="682"/>
      <c r="GB86" s="682"/>
      <c r="GC86" s="682"/>
      <c r="GD86" s="682"/>
      <c r="GE86" s="682"/>
    </row>
    <row r="87" spans="1:187" x14ac:dyDescent="0.6">
      <c r="A87" s="359" t="s">
        <v>193</v>
      </c>
      <c r="B87" s="353">
        <f>'2013-2014'!AC86</f>
        <v>5834.62</v>
      </c>
      <c r="C87" s="353"/>
      <c r="D87" s="360"/>
      <c r="E87" s="361">
        <v>2064.46</v>
      </c>
      <c r="F87" s="361"/>
      <c r="G87" s="361">
        <v>0</v>
      </c>
      <c r="H87" s="362"/>
      <c r="I87" s="362">
        <v>0</v>
      </c>
      <c r="J87" s="362"/>
      <c r="K87" s="362">
        <v>0</v>
      </c>
      <c r="L87" s="362"/>
      <c r="M87" s="362">
        <v>0</v>
      </c>
      <c r="N87" s="362"/>
      <c r="O87" s="362">
        <v>0</v>
      </c>
      <c r="P87" s="362"/>
      <c r="Q87" s="354">
        <v>0</v>
      </c>
      <c r="R87" s="362"/>
      <c r="S87" s="362">
        <v>0</v>
      </c>
      <c r="T87" s="363"/>
      <c r="U87" s="363">
        <v>0</v>
      </c>
      <c r="V87" s="363"/>
      <c r="W87" s="363">
        <v>0</v>
      </c>
      <c r="X87" s="363"/>
      <c r="Y87" s="363">
        <v>0</v>
      </c>
      <c r="Z87" s="363"/>
      <c r="AA87" s="363">
        <v>0</v>
      </c>
      <c r="AB87" s="363">
        <v>0</v>
      </c>
      <c r="AC87" s="338">
        <f t="shared" si="1"/>
        <v>7899.08</v>
      </c>
      <c r="AH87" s="682"/>
      <c r="AI87" s="682"/>
      <c r="AJ87" s="682"/>
      <c r="AK87" s="682"/>
      <c r="AL87" s="682"/>
      <c r="AM87" s="682"/>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c r="CC87" s="682"/>
      <c r="CD87" s="682"/>
      <c r="CE87" s="682"/>
      <c r="CF87" s="682"/>
      <c r="CG87" s="682"/>
      <c r="CH87" s="682"/>
      <c r="CI87" s="682"/>
      <c r="CJ87" s="682"/>
      <c r="CK87" s="682"/>
      <c r="CL87" s="682"/>
      <c r="CM87" s="682"/>
      <c r="CN87" s="682"/>
      <c r="CO87" s="682"/>
      <c r="CP87" s="682"/>
      <c r="CQ87" s="682"/>
      <c r="CR87" s="682"/>
      <c r="CS87" s="682"/>
      <c r="CT87" s="682"/>
      <c r="CU87" s="682"/>
      <c r="CV87" s="682"/>
      <c r="CW87" s="682"/>
      <c r="CX87" s="682"/>
      <c r="CY87" s="682"/>
      <c r="CZ87" s="682"/>
      <c r="DA87" s="682"/>
      <c r="DB87" s="682"/>
      <c r="DC87" s="682"/>
      <c r="DD87" s="682"/>
      <c r="DE87" s="682"/>
      <c r="DF87" s="682"/>
      <c r="DG87" s="682"/>
      <c r="DH87" s="682"/>
      <c r="DI87" s="682"/>
      <c r="DJ87" s="682"/>
      <c r="DK87" s="682"/>
      <c r="DL87" s="682"/>
      <c r="DM87" s="682"/>
      <c r="DN87" s="682"/>
      <c r="DO87" s="682"/>
      <c r="DP87" s="682"/>
      <c r="DQ87" s="682"/>
      <c r="DR87" s="682"/>
      <c r="DS87" s="682"/>
      <c r="DT87" s="682"/>
      <c r="DU87" s="682"/>
      <c r="DV87" s="682"/>
      <c r="DW87" s="682"/>
      <c r="DX87" s="682"/>
      <c r="DY87" s="682"/>
      <c r="DZ87" s="682"/>
      <c r="EA87" s="682"/>
      <c r="EB87" s="682"/>
      <c r="EC87" s="682"/>
      <c r="ED87" s="682"/>
      <c r="EE87" s="682"/>
      <c r="EF87" s="682"/>
      <c r="EG87" s="682"/>
      <c r="EH87" s="682"/>
      <c r="EI87" s="682"/>
      <c r="EJ87" s="682"/>
      <c r="EK87" s="682"/>
      <c r="EL87" s="682"/>
      <c r="EM87" s="682"/>
      <c r="EN87" s="682"/>
      <c r="EO87" s="682"/>
      <c r="EP87" s="682"/>
      <c r="EQ87" s="682"/>
      <c r="ER87" s="682"/>
      <c r="ES87" s="682"/>
      <c r="ET87" s="682"/>
      <c r="EU87" s="682"/>
      <c r="EV87" s="682"/>
      <c r="EW87" s="682"/>
      <c r="EX87" s="682"/>
      <c r="EY87" s="682"/>
      <c r="EZ87" s="682"/>
      <c r="FA87" s="682"/>
      <c r="FB87" s="682"/>
      <c r="FC87" s="682"/>
      <c r="FD87" s="682"/>
      <c r="FE87" s="682"/>
      <c r="FF87" s="682"/>
      <c r="FG87" s="682"/>
      <c r="FH87" s="682"/>
      <c r="FI87" s="682"/>
      <c r="FJ87" s="682"/>
      <c r="FK87" s="682"/>
      <c r="FL87" s="682"/>
      <c r="FM87" s="682"/>
      <c r="FN87" s="682"/>
      <c r="FO87" s="682"/>
      <c r="FP87" s="682"/>
      <c r="FQ87" s="682"/>
      <c r="FR87" s="682"/>
      <c r="FS87" s="682"/>
      <c r="FT87" s="682"/>
      <c r="FU87" s="682"/>
      <c r="FV87" s="682"/>
      <c r="FW87" s="682"/>
      <c r="FX87" s="682"/>
      <c r="FY87" s="682"/>
      <c r="FZ87" s="682"/>
      <c r="GA87" s="682"/>
      <c r="GB87" s="682"/>
      <c r="GC87" s="682"/>
      <c r="GD87" s="682"/>
      <c r="GE87" s="682"/>
    </row>
    <row r="88" spans="1:187" x14ac:dyDescent="0.6">
      <c r="A88" s="366" t="s">
        <v>92</v>
      </c>
      <c r="B88" s="353">
        <f>'2013-2014'!AC87</f>
        <v>873.27</v>
      </c>
      <c r="C88" s="353"/>
      <c r="D88" s="360"/>
      <c r="E88" s="361">
        <v>0</v>
      </c>
      <c r="F88" s="361"/>
      <c r="G88" s="361">
        <v>0</v>
      </c>
      <c r="H88" s="362"/>
      <c r="I88" s="362">
        <v>0</v>
      </c>
      <c r="J88" s="362"/>
      <c r="K88" s="362">
        <v>0</v>
      </c>
      <c r="L88" s="362"/>
      <c r="M88" s="362">
        <v>0</v>
      </c>
      <c r="N88" s="362"/>
      <c r="O88" s="362">
        <v>0</v>
      </c>
      <c r="P88" s="362"/>
      <c r="Q88" s="354">
        <v>0</v>
      </c>
      <c r="R88" s="362"/>
      <c r="S88" s="362">
        <v>0</v>
      </c>
      <c r="T88" s="363"/>
      <c r="U88" s="363">
        <v>0</v>
      </c>
      <c r="V88" s="363"/>
      <c r="W88" s="363">
        <v>0</v>
      </c>
      <c r="X88" s="363"/>
      <c r="Y88" s="363">
        <v>0</v>
      </c>
      <c r="Z88" s="363"/>
      <c r="AA88" s="363">
        <v>0</v>
      </c>
      <c r="AB88" s="363">
        <v>0</v>
      </c>
      <c r="AC88" s="338">
        <f t="shared" si="1"/>
        <v>873.27</v>
      </c>
      <c r="AH88" s="682"/>
      <c r="AI88" s="682"/>
      <c r="AJ88" s="682"/>
      <c r="AK88" s="682"/>
      <c r="AL88" s="682"/>
      <c r="AM88" s="682"/>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c r="CC88" s="682"/>
      <c r="CD88" s="682"/>
      <c r="CE88" s="682"/>
      <c r="CF88" s="682"/>
      <c r="CG88" s="682"/>
      <c r="CH88" s="682"/>
      <c r="CI88" s="682"/>
      <c r="CJ88" s="682"/>
      <c r="CK88" s="682"/>
      <c r="CL88" s="682"/>
      <c r="CM88" s="682"/>
      <c r="CN88" s="682"/>
      <c r="CO88" s="682"/>
      <c r="CP88" s="682"/>
      <c r="CQ88" s="682"/>
      <c r="CR88" s="682"/>
      <c r="CS88" s="682"/>
      <c r="CT88" s="682"/>
      <c r="CU88" s="682"/>
      <c r="CV88" s="682"/>
      <c r="CW88" s="682"/>
      <c r="CX88" s="682"/>
      <c r="CY88" s="682"/>
      <c r="CZ88" s="682"/>
      <c r="DA88" s="682"/>
      <c r="DB88" s="682"/>
      <c r="DC88" s="682"/>
      <c r="DD88" s="682"/>
      <c r="DE88" s="682"/>
      <c r="DF88" s="682"/>
      <c r="DG88" s="682"/>
      <c r="DH88" s="682"/>
      <c r="DI88" s="682"/>
      <c r="DJ88" s="682"/>
      <c r="DK88" s="682"/>
      <c r="DL88" s="682"/>
      <c r="DM88" s="682"/>
      <c r="DN88" s="682"/>
      <c r="DO88" s="682"/>
      <c r="DP88" s="682"/>
      <c r="DQ88" s="682"/>
      <c r="DR88" s="682"/>
      <c r="DS88" s="682"/>
      <c r="DT88" s="682"/>
      <c r="DU88" s="682"/>
      <c r="DV88" s="682"/>
      <c r="DW88" s="682"/>
      <c r="DX88" s="682"/>
      <c r="DY88" s="682"/>
      <c r="DZ88" s="682"/>
      <c r="EA88" s="682"/>
      <c r="EB88" s="682"/>
      <c r="EC88" s="682"/>
      <c r="ED88" s="682"/>
      <c r="EE88" s="682"/>
      <c r="EF88" s="682"/>
      <c r="EG88" s="682"/>
      <c r="EH88" s="682"/>
      <c r="EI88" s="682"/>
      <c r="EJ88" s="682"/>
      <c r="EK88" s="682"/>
      <c r="EL88" s="682"/>
      <c r="EM88" s="682"/>
      <c r="EN88" s="682"/>
      <c r="EO88" s="682"/>
      <c r="EP88" s="682"/>
      <c r="EQ88" s="682"/>
      <c r="ER88" s="682"/>
      <c r="ES88" s="682"/>
      <c r="ET88" s="682"/>
      <c r="EU88" s="682"/>
      <c r="EV88" s="682"/>
      <c r="EW88" s="682"/>
      <c r="EX88" s="682"/>
      <c r="EY88" s="682"/>
      <c r="EZ88" s="682"/>
      <c r="FA88" s="682"/>
      <c r="FB88" s="682"/>
      <c r="FC88" s="682"/>
      <c r="FD88" s="682"/>
      <c r="FE88" s="682"/>
      <c r="FF88" s="682"/>
      <c r="FG88" s="682"/>
      <c r="FH88" s="682"/>
      <c r="FI88" s="682"/>
      <c r="FJ88" s="682"/>
      <c r="FK88" s="682"/>
      <c r="FL88" s="682"/>
      <c r="FM88" s="682"/>
      <c r="FN88" s="682"/>
      <c r="FO88" s="682"/>
      <c r="FP88" s="682"/>
      <c r="FQ88" s="682"/>
      <c r="FR88" s="682"/>
      <c r="FS88" s="682"/>
      <c r="FT88" s="682"/>
      <c r="FU88" s="682"/>
      <c r="FV88" s="682"/>
      <c r="FW88" s="682"/>
      <c r="FX88" s="682"/>
      <c r="FY88" s="682"/>
      <c r="FZ88" s="682"/>
      <c r="GA88" s="682"/>
      <c r="GB88" s="682"/>
      <c r="GC88" s="682"/>
      <c r="GD88" s="682"/>
      <c r="GE88" s="682"/>
    </row>
    <row r="89" spans="1:187" x14ac:dyDescent="0.6">
      <c r="A89" s="367" t="s">
        <v>313</v>
      </c>
      <c r="B89" s="353">
        <f>'2013-2014'!AC92</f>
        <v>652.48</v>
      </c>
      <c r="C89" s="353"/>
      <c r="D89" s="360"/>
      <c r="E89" s="361">
        <v>0</v>
      </c>
      <c r="F89" s="361"/>
      <c r="G89" s="361">
        <v>0</v>
      </c>
      <c r="H89" s="362"/>
      <c r="I89" s="362">
        <v>0</v>
      </c>
      <c r="J89" s="362"/>
      <c r="K89" s="362">
        <v>0</v>
      </c>
      <c r="L89" s="362"/>
      <c r="M89" s="362">
        <v>0</v>
      </c>
      <c r="N89" s="362"/>
      <c r="O89" s="362">
        <v>0</v>
      </c>
      <c r="P89" s="362"/>
      <c r="Q89" s="354">
        <v>0</v>
      </c>
      <c r="R89" s="362"/>
      <c r="S89" s="362">
        <v>0</v>
      </c>
      <c r="T89" s="363"/>
      <c r="U89" s="363">
        <v>0</v>
      </c>
      <c r="V89" s="363"/>
      <c r="W89" s="363">
        <v>0</v>
      </c>
      <c r="X89" s="363"/>
      <c r="Y89" s="363">
        <v>0</v>
      </c>
      <c r="Z89" s="363"/>
      <c r="AA89" s="363">
        <v>0</v>
      </c>
      <c r="AB89" s="363">
        <v>0</v>
      </c>
      <c r="AC89" s="338">
        <f t="shared" si="1"/>
        <v>652.48</v>
      </c>
      <c r="AH89" s="682"/>
      <c r="AI89" s="682"/>
      <c r="AJ89" s="682"/>
      <c r="AK89" s="682"/>
      <c r="AL89" s="682"/>
      <c r="AM89" s="682"/>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c r="CC89" s="682"/>
      <c r="CD89" s="682"/>
      <c r="CE89" s="682"/>
      <c r="CF89" s="682"/>
      <c r="CG89" s="682"/>
      <c r="CH89" s="682"/>
      <c r="CI89" s="682"/>
      <c r="CJ89" s="682"/>
      <c r="CK89" s="682"/>
      <c r="CL89" s="682"/>
      <c r="CM89" s="682"/>
      <c r="CN89" s="682"/>
      <c r="CO89" s="682"/>
      <c r="CP89" s="682"/>
      <c r="CQ89" s="682"/>
      <c r="CR89" s="682"/>
      <c r="CS89" s="682"/>
      <c r="CT89" s="682"/>
      <c r="CU89" s="682"/>
      <c r="CV89" s="682"/>
      <c r="CW89" s="682"/>
      <c r="CX89" s="682"/>
      <c r="CY89" s="682"/>
      <c r="CZ89" s="682"/>
      <c r="DA89" s="682"/>
      <c r="DB89" s="682"/>
      <c r="DC89" s="682"/>
      <c r="DD89" s="682"/>
      <c r="DE89" s="682"/>
      <c r="DF89" s="682"/>
      <c r="DG89" s="682"/>
      <c r="DH89" s="682"/>
      <c r="DI89" s="682"/>
      <c r="DJ89" s="682"/>
      <c r="DK89" s="682"/>
      <c r="DL89" s="682"/>
      <c r="DM89" s="682"/>
      <c r="DN89" s="682"/>
      <c r="DO89" s="682"/>
      <c r="DP89" s="682"/>
      <c r="DQ89" s="682"/>
      <c r="DR89" s="682"/>
      <c r="DS89" s="682"/>
      <c r="DT89" s="682"/>
      <c r="DU89" s="682"/>
      <c r="DV89" s="682"/>
      <c r="DW89" s="682"/>
      <c r="DX89" s="682"/>
      <c r="DY89" s="682"/>
      <c r="DZ89" s="682"/>
      <c r="EA89" s="682"/>
      <c r="EB89" s="682"/>
      <c r="EC89" s="682"/>
      <c r="ED89" s="682"/>
      <c r="EE89" s="682"/>
      <c r="EF89" s="682"/>
      <c r="EG89" s="682"/>
      <c r="EH89" s="682"/>
      <c r="EI89" s="682"/>
      <c r="EJ89" s="682"/>
      <c r="EK89" s="682"/>
      <c r="EL89" s="682"/>
      <c r="EM89" s="682"/>
      <c r="EN89" s="682"/>
      <c r="EO89" s="682"/>
      <c r="EP89" s="682"/>
      <c r="EQ89" s="682"/>
      <c r="ER89" s="682"/>
      <c r="ES89" s="682"/>
      <c r="ET89" s="682"/>
      <c r="EU89" s="682"/>
      <c r="EV89" s="682"/>
      <c r="EW89" s="682"/>
      <c r="EX89" s="682"/>
      <c r="EY89" s="682"/>
      <c r="EZ89" s="682"/>
      <c r="FA89" s="682"/>
      <c r="FB89" s="682"/>
      <c r="FC89" s="682"/>
      <c r="FD89" s="682"/>
      <c r="FE89" s="682"/>
      <c r="FF89" s="682"/>
      <c r="FG89" s="682"/>
      <c r="FH89" s="682"/>
      <c r="FI89" s="682"/>
      <c r="FJ89" s="682"/>
      <c r="FK89" s="682"/>
      <c r="FL89" s="682"/>
      <c r="FM89" s="682"/>
      <c r="FN89" s="682"/>
      <c r="FO89" s="682"/>
      <c r="FP89" s="682"/>
      <c r="FQ89" s="682"/>
      <c r="FR89" s="682"/>
      <c r="FS89" s="682"/>
      <c r="FT89" s="682"/>
      <c r="FU89" s="682"/>
      <c r="FV89" s="682"/>
      <c r="FW89" s="682"/>
      <c r="FX89" s="682"/>
      <c r="FY89" s="682"/>
      <c r="FZ89" s="682"/>
      <c r="GA89" s="682"/>
      <c r="GB89" s="682"/>
      <c r="GC89" s="682"/>
      <c r="GD89" s="682"/>
      <c r="GE89" s="682"/>
    </row>
    <row r="90" spans="1:187" x14ac:dyDescent="0.6">
      <c r="A90" s="359" t="s">
        <v>188</v>
      </c>
      <c r="B90" s="353">
        <f>'2013-2014'!AC88</f>
        <v>395.97</v>
      </c>
      <c r="C90" s="353"/>
      <c r="D90" s="360"/>
      <c r="E90" s="361">
        <v>0</v>
      </c>
      <c r="F90" s="361"/>
      <c r="G90" s="361">
        <v>0</v>
      </c>
      <c r="H90" s="362"/>
      <c r="I90" s="362">
        <v>0</v>
      </c>
      <c r="J90" s="362"/>
      <c r="K90" s="362">
        <v>0</v>
      </c>
      <c r="L90" s="362"/>
      <c r="M90" s="362">
        <v>1366.43</v>
      </c>
      <c r="N90" s="362"/>
      <c r="O90" s="362">
        <v>0</v>
      </c>
      <c r="P90" s="362"/>
      <c r="Q90" s="354">
        <v>0</v>
      </c>
      <c r="R90" s="362"/>
      <c r="S90" s="362">
        <v>0</v>
      </c>
      <c r="T90" s="363"/>
      <c r="U90" s="363">
        <v>0</v>
      </c>
      <c r="V90" s="363"/>
      <c r="W90" s="363">
        <v>0</v>
      </c>
      <c r="X90" s="363"/>
      <c r="Y90" s="363">
        <v>0</v>
      </c>
      <c r="Z90" s="363"/>
      <c r="AA90" s="363">
        <v>0</v>
      </c>
      <c r="AB90" s="363">
        <v>0</v>
      </c>
      <c r="AC90" s="338">
        <f t="shared" si="1"/>
        <v>1762.4</v>
      </c>
      <c r="AH90" s="682"/>
      <c r="AI90" s="682"/>
      <c r="AJ90" s="682"/>
      <c r="AK90" s="682"/>
      <c r="AL90" s="682"/>
      <c r="AM90" s="682"/>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c r="CC90" s="682"/>
      <c r="CD90" s="682"/>
      <c r="CE90" s="682"/>
      <c r="CF90" s="682"/>
      <c r="CG90" s="682"/>
      <c r="CH90" s="682"/>
      <c r="CI90" s="682"/>
      <c r="CJ90" s="682"/>
      <c r="CK90" s="682"/>
      <c r="CL90" s="682"/>
      <c r="CM90" s="682"/>
      <c r="CN90" s="682"/>
      <c r="CO90" s="682"/>
      <c r="CP90" s="682"/>
      <c r="CQ90" s="682"/>
      <c r="CR90" s="682"/>
      <c r="CS90" s="682"/>
      <c r="CT90" s="682"/>
      <c r="CU90" s="682"/>
      <c r="CV90" s="682"/>
      <c r="CW90" s="682"/>
      <c r="CX90" s="682"/>
      <c r="CY90" s="682"/>
      <c r="CZ90" s="682"/>
      <c r="DA90" s="682"/>
      <c r="DB90" s="682"/>
      <c r="DC90" s="682"/>
      <c r="DD90" s="682"/>
      <c r="DE90" s="682"/>
      <c r="DF90" s="682"/>
      <c r="DG90" s="682"/>
      <c r="DH90" s="682"/>
      <c r="DI90" s="682"/>
      <c r="DJ90" s="682"/>
      <c r="DK90" s="682"/>
      <c r="DL90" s="682"/>
      <c r="DM90" s="682"/>
      <c r="DN90" s="682"/>
      <c r="DO90" s="682"/>
      <c r="DP90" s="682"/>
      <c r="DQ90" s="682"/>
      <c r="DR90" s="682"/>
      <c r="DS90" s="682"/>
      <c r="DT90" s="682"/>
      <c r="DU90" s="682"/>
      <c r="DV90" s="682"/>
      <c r="DW90" s="682"/>
      <c r="DX90" s="682"/>
      <c r="DY90" s="682"/>
      <c r="DZ90" s="682"/>
      <c r="EA90" s="682"/>
      <c r="EB90" s="682"/>
      <c r="EC90" s="682"/>
      <c r="ED90" s="682"/>
      <c r="EE90" s="682"/>
      <c r="EF90" s="682"/>
      <c r="EG90" s="682"/>
      <c r="EH90" s="682"/>
      <c r="EI90" s="682"/>
      <c r="EJ90" s="682"/>
      <c r="EK90" s="682"/>
      <c r="EL90" s="682"/>
      <c r="EM90" s="682"/>
      <c r="EN90" s="682"/>
      <c r="EO90" s="682"/>
      <c r="EP90" s="682"/>
      <c r="EQ90" s="682"/>
      <c r="ER90" s="682"/>
      <c r="ES90" s="682"/>
      <c r="ET90" s="682"/>
      <c r="EU90" s="682"/>
      <c r="EV90" s="682"/>
      <c r="EW90" s="682"/>
      <c r="EX90" s="682"/>
      <c r="EY90" s="682"/>
      <c r="EZ90" s="682"/>
      <c r="FA90" s="682"/>
      <c r="FB90" s="682"/>
      <c r="FC90" s="682"/>
      <c r="FD90" s="682"/>
      <c r="FE90" s="682"/>
      <c r="FF90" s="682"/>
      <c r="FG90" s="682"/>
      <c r="FH90" s="682"/>
      <c r="FI90" s="682"/>
      <c r="FJ90" s="682"/>
      <c r="FK90" s="682"/>
      <c r="FL90" s="682"/>
      <c r="FM90" s="682"/>
      <c r="FN90" s="682"/>
      <c r="FO90" s="682"/>
      <c r="FP90" s="682"/>
      <c r="FQ90" s="682"/>
      <c r="FR90" s="682"/>
      <c r="FS90" s="682"/>
      <c r="FT90" s="682"/>
      <c r="FU90" s="682"/>
      <c r="FV90" s="682"/>
      <c r="FW90" s="682"/>
      <c r="FX90" s="682"/>
      <c r="FY90" s="682"/>
      <c r="FZ90" s="682"/>
      <c r="GA90" s="682"/>
      <c r="GB90" s="682"/>
      <c r="GC90" s="682"/>
      <c r="GD90" s="682"/>
      <c r="GE90" s="682"/>
    </row>
    <row r="91" spans="1:187" x14ac:dyDescent="0.6">
      <c r="A91" s="368" t="s">
        <v>152</v>
      </c>
      <c r="B91" s="353">
        <f>'2013-2014'!AC89</f>
        <v>2</v>
      </c>
      <c r="C91" s="353"/>
      <c r="D91" s="360"/>
      <c r="E91" s="361">
        <v>0</v>
      </c>
      <c r="F91" s="361"/>
      <c r="G91" s="361">
        <v>0</v>
      </c>
      <c r="H91" s="362"/>
      <c r="I91" s="362">
        <v>0</v>
      </c>
      <c r="J91" s="362"/>
      <c r="K91" s="361">
        <v>0</v>
      </c>
      <c r="L91" s="361"/>
      <c r="M91" s="362">
        <v>0</v>
      </c>
      <c r="N91" s="362"/>
      <c r="O91" s="362">
        <v>0</v>
      </c>
      <c r="P91" s="362"/>
      <c r="Q91" s="354">
        <v>0</v>
      </c>
      <c r="R91" s="362"/>
      <c r="S91" s="362">
        <v>0</v>
      </c>
      <c r="T91" s="363"/>
      <c r="U91" s="363">
        <v>0</v>
      </c>
      <c r="V91" s="363"/>
      <c r="W91" s="363">
        <v>0</v>
      </c>
      <c r="X91" s="363"/>
      <c r="Y91" s="363">
        <v>0</v>
      </c>
      <c r="Z91" s="363"/>
      <c r="AA91" s="363">
        <v>0</v>
      </c>
      <c r="AB91" s="363">
        <v>0</v>
      </c>
      <c r="AC91" s="338">
        <f t="shared" si="1"/>
        <v>2</v>
      </c>
      <c r="AH91" s="682"/>
      <c r="AI91" s="682"/>
      <c r="AJ91" s="682"/>
      <c r="AK91" s="682"/>
      <c r="AL91" s="682"/>
      <c r="AM91" s="682"/>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c r="CC91" s="682"/>
      <c r="CD91" s="682"/>
      <c r="CE91" s="682"/>
      <c r="CF91" s="682"/>
      <c r="CG91" s="682"/>
      <c r="CH91" s="682"/>
      <c r="CI91" s="682"/>
      <c r="CJ91" s="682"/>
      <c r="CK91" s="682"/>
      <c r="CL91" s="682"/>
      <c r="CM91" s="682"/>
      <c r="CN91" s="682"/>
      <c r="CO91" s="682"/>
      <c r="CP91" s="682"/>
      <c r="CQ91" s="682"/>
      <c r="CR91" s="682"/>
      <c r="CS91" s="682"/>
      <c r="CT91" s="682"/>
      <c r="CU91" s="682"/>
      <c r="CV91" s="682"/>
      <c r="CW91" s="682"/>
      <c r="CX91" s="682"/>
      <c r="CY91" s="682"/>
      <c r="CZ91" s="682"/>
      <c r="DA91" s="682"/>
      <c r="DB91" s="682"/>
      <c r="DC91" s="682"/>
      <c r="DD91" s="682"/>
      <c r="DE91" s="682"/>
      <c r="DF91" s="682"/>
      <c r="DG91" s="682"/>
      <c r="DH91" s="682"/>
      <c r="DI91" s="682"/>
      <c r="DJ91" s="682"/>
      <c r="DK91" s="682"/>
      <c r="DL91" s="682"/>
      <c r="DM91" s="682"/>
      <c r="DN91" s="682"/>
      <c r="DO91" s="682"/>
      <c r="DP91" s="682"/>
      <c r="DQ91" s="682"/>
      <c r="DR91" s="682"/>
      <c r="DS91" s="682"/>
      <c r="DT91" s="682"/>
      <c r="DU91" s="682"/>
      <c r="DV91" s="682"/>
      <c r="DW91" s="682"/>
      <c r="DX91" s="682"/>
      <c r="DY91" s="682"/>
      <c r="DZ91" s="682"/>
      <c r="EA91" s="682"/>
      <c r="EB91" s="682"/>
      <c r="EC91" s="682"/>
      <c r="ED91" s="682"/>
      <c r="EE91" s="682"/>
      <c r="EF91" s="682"/>
      <c r="EG91" s="682"/>
      <c r="EH91" s="682"/>
      <c r="EI91" s="682"/>
      <c r="EJ91" s="682"/>
      <c r="EK91" s="682"/>
      <c r="EL91" s="682"/>
      <c r="EM91" s="682"/>
      <c r="EN91" s="682"/>
      <c r="EO91" s="682"/>
      <c r="EP91" s="682"/>
      <c r="EQ91" s="682"/>
      <c r="ER91" s="682"/>
      <c r="ES91" s="682"/>
      <c r="ET91" s="682"/>
      <c r="EU91" s="682"/>
      <c r="EV91" s="682"/>
      <c r="EW91" s="682"/>
      <c r="EX91" s="682"/>
      <c r="EY91" s="682"/>
      <c r="EZ91" s="682"/>
      <c r="FA91" s="682"/>
      <c r="FB91" s="682"/>
      <c r="FC91" s="682"/>
      <c r="FD91" s="682"/>
      <c r="FE91" s="682"/>
      <c r="FF91" s="682"/>
      <c r="FG91" s="682"/>
      <c r="FH91" s="682"/>
      <c r="FI91" s="682"/>
      <c r="FJ91" s="682"/>
      <c r="FK91" s="682"/>
      <c r="FL91" s="682"/>
      <c r="FM91" s="682"/>
      <c r="FN91" s="682"/>
      <c r="FO91" s="682"/>
      <c r="FP91" s="682"/>
      <c r="FQ91" s="682"/>
      <c r="FR91" s="682"/>
      <c r="FS91" s="682"/>
      <c r="FT91" s="682"/>
      <c r="FU91" s="682"/>
      <c r="FV91" s="682"/>
      <c r="FW91" s="682"/>
      <c r="FX91" s="682"/>
      <c r="FY91" s="682"/>
      <c r="FZ91" s="682"/>
      <c r="GA91" s="682"/>
      <c r="GB91" s="682"/>
      <c r="GC91" s="682"/>
      <c r="GD91" s="682"/>
      <c r="GE91" s="682"/>
    </row>
    <row r="92" spans="1:187" x14ac:dyDescent="0.6">
      <c r="A92" s="369" t="s">
        <v>76</v>
      </c>
      <c r="B92" s="353">
        <f>'2013-2014'!AC69</f>
        <v>1.1641532182693481E-10</v>
      </c>
      <c r="C92" s="370"/>
      <c r="D92" s="370"/>
      <c r="E92" s="339">
        <v>0</v>
      </c>
      <c r="F92" s="339"/>
      <c r="G92" s="339">
        <v>0</v>
      </c>
      <c r="H92" s="338"/>
      <c r="I92" s="338">
        <v>0</v>
      </c>
      <c r="J92" s="338"/>
      <c r="K92" s="338">
        <v>0</v>
      </c>
      <c r="L92" s="338"/>
      <c r="M92" s="354">
        <v>0</v>
      </c>
      <c r="N92" s="354"/>
      <c r="O92" s="354">
        <v>0</v>
      </c>
      <c r="P92" s="354"/>
      <c r="Q92" s="354">
        <v>0</v>
      </c>
      <c r="R92" s="354"/>
      <c r="S92" s="354">
        <v>0</v>
      </c>
      <c r="T92" s="355"/>
      <c r="U92" s="355">
        <v>0</v>
      </c>
      <c r="V92" s="355"/>
      <c r="W92" s="355">
        <v>0</v>
      </c>
      <c r="X92" s="355"/>
      <c r="Y92" s="355">
        <v>0</v>
      </c>
      <c r="Z92" s="355"/>
      <c r="AA92" s="355">
        <v>0</v>
      </c>
      <c r="AB92" s="355">
        <v>0</v>
      </c>
      <c r="AC92" s="338">
        <f t="shared" si="1"/>
        <v>1.1641532182693481E-10</v>
      </c>
      <c r="AH92" s="682"/>
      <c r="AI92" s="682"/>
      <c r="AJ92" s="682"/>
      <c r="AK92" s="682"/>
      <c r="AL92" s="682"/>
      <c r="AM92" s="682"/>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c r="CC92" s="682"/>
      <c r="CD92" s="682"/>
      <c r="CE92" s="682"/>
      <c r="CF92" s="682"/>
      <c r="CG92" s="682"/>
      <c r="CH92" s="682"/>
      <c r="CI92" s="682"/>
      <c r="CJ92" s="682"/>
      <c r="CK92" s="682"/>
      <c r="CL92" s="682"/>
      <c r="CM92" s="682"/>
      <c r="CN92" s="682"/>
      <c r="CO92" s="682"/>
      <c r="CP92" s="682"/>
      <c r="CQ92" s="682"/>
      <c r="CR92" s="682"/>
      <c r="CS92" s="682"/>
      <c r="CT92" s="682"/>
      <c r="CU92" s="682"/>
      <c r="CV92" s="682"/>
      <c r="CW92" s="682"/>
      <c r="CX92" s="682"/>
      <c r="CY92" s="682"/>
      <c r="CZ92" s="682"/>
      <c r="DA92" s="682"/>
      <c r="DB92" s="682"/>
      <c r="DC92" s="682"/>
      <c r="DD92" s="682"/>
      <c r="DE92" s="682"/>
      <c r="DF92" s="682"/>
      <c r="DG92" s="682"/>
      <c r="DH92" s="682"/>
      <c r="DI92" s="682"/>
      <c r="DJ92" s="682"/>
      <c r="DK92" s="682"/>
      <c r="DL92" s="682"/>
      <c r="DM92" s="682"/>
      <c r="DN92" s="682"/>
      <c r="DO92" s="682"/>
      <c r="DP92" s="682"/>
      <c r="DQ92" s="682"/>
      <c r="DR92" s="682"/>
      <c r="DS92" s="682"/>
      <c r="DT92" s="682"/>
      <c r="DU92" s="682"/>
      <c r="DV92" s="682"/>
      <c r="DW92" s="682"/>
      <c r="DX92" s="682"/>
      <c r="DY92" s="682"/>
      <c r="DZ92" s="682"/>
      <c r="EA92" s="682"/>
      <c r="EB92" s="682"/>
      <c r="EC92" s="682"/>
      <c r="ED92" s="682"/>
      <c r="EE92" s="682"/>
      <c r="EF92" s="682"/>
      <c r="EG92" s="682"/>
      <c r="EH92" s="682"/>
      <c r="EI92" s="682"/>
      <c r="EJ92" s="682"/>
      <c r="EK92" s="682"/>
      <c r="EL92" s="682"/>
      <c r="EM92" s="682"/>
      <c r="EN92" s="682"/>
      <c r="EO92" s="682"/>
      <c r="EP92" s="682"/>
      <c r="EQ92" s="682"/>
      <c r="ER92" s="682"/>
      <c r="ES92" s="682"/>
      <c r="ET92" s="682"/>
      <c r="EU92" s="682"/>
      <c r="EV92" s="682"/>
      <c r="EW92" s="682"/>
      <c r="EX92" s="682"/>
      <c r="EY92" s="682"/>
      <c r="EZ92" s="682"/>
      <c r="FA92" s="682"/>
      <c r="FB92" s="682"/>
      <c r="FC92" s="682"/>
      <c r="FD92" s="682"/>
      <c r="FE92" s="682"/>
      <c r="FF92" s="682"/>
      <c r="FG92" s="682"/>
      <c r="FH92" s="682"/>
      <c r="FI92" s="682"/>
      <c r="FJ92" s="682"/>
      <c r="FK92" s="682"/>
      <c r="FL92" s="682"/>
      <c r="FM92" s="682"/>
      <c r="FN92" s="682"/>
      <c r="FO92" s="682"/>
      <c r="FP92" s="682"/>
      <c r="FQ92" s="682"/>
      <c r="FR92" s="682"/>
      <c r="FS92" s="682"/>
      <c r="FT92" s="682"/>
      <c r="FU92" s="682"/>
      <c r="FV92" s="682"/>
      <c r="FW92" s="682"/>
      <c r="FX92" s="682"/>
      <c r="FY92" s="682"/>
      <c r="FZ92" s="682"/>
      <c r="GA92" s="682"/>
      <c r="GB92" s="682"/>
      <c r="GC92" s="682"/>
      <c r="GD92" s="682"/>
      <c r="GE92" s="682"/>
    </row>
    <row r="93" spans="1:187" x14ac:dyDescent="0.6">
      <c r="A93" s="371" t="s">
        <v>140</v>
      </c>
      <c r="B93" s="353">
        <f>'2013-2014'!AC90</f>
        <v>-0.56000000000000005</v>
      </c>
      <c r="C93" s="370"/>
      <c r="D93" s="372"/>
      <c r="E93" s="373">
        <v>0</v>
      </c>
      <c r="F93" s="373"/>
      <c r="G93" s="373">
        <v>0</v>
      </c>
      <c r="H93" s="374"/>
      <c r="I93" s="374">
        <v>0</v>
      </c>
      <c r="J93" s="375"/>
      <c r="K93" s="361">
        <v>0</v>
      </c>
      <c r="L93" s="361"/>
      <c r="M93" s="362">
        <v>0</v>
      </c>
      <c r="N93" s="362"/>
      <c r="O93" s="362">
        <v>0</v>
      </c>
      <c r="P93" s="362"/>
      <c r="Q93" s="354">
        <v>0</v>
      </c>
      <c r="R93" s="362"/>
      <c r="S93" s="362">
        <v>0</v>
      </c>
      <c r="T93" s="363"/>
      <c r="U93" s="363">
        <v>0</v>
      </c>
      <c r="V93" s="363"/>
      <c r="W93" s="363">
        <v>0</v>
      </c>
      <c r="X93" s="363"/>
      <c r="Y93" s="363">
        <v>0</v>
      </c>
      <c r="Z93" s="363"/>
      <c r="AA93" s="363">
        <v>0</v>
      </c>
      <c r="AB93" s="363">
        <v>0</v>
      </c>
      <c r="AC93" s="338">
        <f t="shared" si="1"/>
        <v>-0.56000000000000005</v>
      </c>
      <c r="AH93" s="682"/>
      <c r="AI93" s="682"/>
      <c r="AJ93" s="682"/>
      <c r="AK93" s="682"/>
      <c r="AL93" s="682"/>
      <c r="AM93" s="682"/>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c r="CC93" s="682"/>
      <c r="CD93" s="682"/>
      <c r="CE93" s="682"/>
      <c r="CF93" s="682"/>
      <c r="CG93" s="682"/>
      <c r="CH93" s="682"/>
      <c r="CI93" s="682"/>
      <c r="CJ93" s="682"/>
      <c r="CK93" s="682"/>
      <c r="CL93" s="682"/>
      <c r="CM93" s="682"/>
      <c r="CN93" s="682"/>
      <c r="CO93" s="682"/>
      <c r="CP93" s="682"/>
      <c r="CQ93" s="682"/>
      <c r="CR93" s="682"/>
      <c r="CS93" s="682"/>
      <c r="CT93" s="682"/>
      <c r="CU93" s="682"/>
      <c r="CV93" s="682"/>
      <c r="CW93" s="682"/>
      <c r="CX93" s="682"/>
      <c r="CY93" s="682"/>
      <c r="CZ93" s="682"/>
      <c r="DA93" s="682"/>
      <c r="DB93" s="682"/>
      <c r="DC93" s="682"/>
      <c r="DD93" s="682"/>
      <c r="DE93" s="682"/>
      <c r="DF93" s="682"/>
      <c r="DG93" s="682"/>
      <c r="DH93" s="682"/>
      <c r="DI93" s="682"/>
      <c r="DJ93" s="682"/>
      <c r="DK93" s="682"/>
      <c r="DL93" s="682"/>
      <c r="DM93" s="682"/>
      <c r="DN93" s="682"/>
      <c r="DO93" s="682"/>
      <c r="DP93" s="682"/>
      <c r="DQ93" s="682"/>
      <c r="DR93" s="682"/>
      <c r="DS93" s="682"/>
      <c r="DT93" s="682"/>
      <c r="DU93" s="682"/>
      <c r="DV93" s="682"/>
      <c r="DW93" s="682"/>
      <c r="DX93" s="682"/>
      <c r="DY93" s="682"/>
      <c r="DZ93" s="682"/>
      <c r="EA93" s="682"/>
      <c r="EB93" s="682"/>
      <c r="EC93" s="682"/>
      <c r="ED93" s="682"/>
      <c r="EE93" s="682"/>
      <c r="EF93" s="682"/>
      <c r="EG93" s="682"/>
      <c r="EH93" s="682"/>
      <c r="EI93" s="682"/>
      <c r="EJ93" s="682"/>
      <c r="EK93" s="682"/>
      <c r="EL93" s="682"/>
      <c r="EM93" s="682"/>
      <c r="EN93" s="682"/>
      <c r="EO93" s="682"/>
      <c r="EP93" s="682"/>
      <c r="EQ93" s="682"/>
      <c r="ER93" s="682"/>
      <c r="ES93" s="682"/>
      <c r="ET93" s="682"/>
      <c r="EU93" s="682"/>
      <c r="EV93" s="682"/>
      <c r="EW93" s="682"/>
      <c r="EX93" s="682"/>
      <c r="EY93" s="682"/>
      <c r="EZ93" s="682"/>
      <c r="FA93" s="682"/>
      <c r="FB93" s="682"/>
      <c r="FC93" s="682"/>
      <c r="FD93" s="682"/>
      <c r="FE93" s="682"/>
      <c r="FF93" s="682"/>
      <c r="FG93" s="682"/>
      <c r="FH93" s="682"/>
      <c r="FI93" s="682"/>
      <c r="FJ93" s="682"/>
      <c r="FK93" s="682"/>
      <c r="FL93" s="682"/>
      <c r="FM93" s="682"/>
      <c r="FN93" s="682"/>
      <c r="FO93" s="682"/>
      <c r="FP93" s="682"/>
      <c r="FQ93" s="682"/>
      <c r="FR93" s="682"/>
      <c r="FS93" s="682"/>
      <c r="FT93" s="682"/>
      <c r="FU93" s="682"/>
      <c r="FV93" s="682"/>
      <c r="FW93" s="682"/>
      <c r="FX93" s="682"/>
      <c r="FY93" s="682"/>
      <c r="FZ93" s="682"/>
      <c r="GA93" s="682"/>
      <c r="GB93" s="682"/>
      <c r="GC93" s="682"/>
      <c r="GD93" s="682"/>
      <c r="GE93" s="682"/>
    </row>
    <row r="94" spans="1:187" x14ac:dyDescent="0.6">
      <c r="A94" s="376" t="s">
        <v>61</v>
      </c>
      <c r="B94" s="353">
        <f>'2013-2014'!AC94</f>
        <v>-225740.36000000022</v>
      </c>
      <c r="C94" s="370"/>
      <c r="D94" s="372">
        <f>10605.84+49524.08+44215.46+5440+688.71</f>
        <v>110474.09000000001</v>
      </c>
      <c r="E94" s="373">
        <v>73005.789999999994</v>
      </c>
      <c r="F94" s="373">
        <f>550.9+66994.2+5440</f>
        <v>72985.099999999991</v>
      </c>
      <c r="G94" s="373">
        <v>90204.38</v>
      </c>
      <c r="H94" s="373">
        <f>5440+40220</f>
        <v>45660</v>
      </c>
      <c r="I94" s="373">
        <v>83342</v>
      </c>
      <c r="J94" s="377"/>
      <c r="K94" s="373">
        <v>96602</v>
      </c>
      <c r="L94" s="337"/>
      <c r="M94" s="337">
        <v>109862</v>
      </c>
      <c r="N94" s="337">
        <f>137466+13260+35143+6630+5555</f>
        <v>198054</v>
      </c>
      <c r="O94" s="337">
        <v>19624.68</v>
      </c>
      <c r="P94" s="337">
        <f>28035+69923</f>
        <v>97958</v>
      </c>
      <c r="Q94" s="378">
        <v>407700.53</v>
      </c>
      <c r="R94" s="337">
        <v>5440</v>
      </c>
      <c r="S94" s="361">
        <v>167256.85999999999</v>
      </c>
      <c r="T94" s="363">
        <v>66110</v>
      </c>
      <c r="U94" s="363">
        <v>90705.8</v>
      </c>
      <c r="V94" s="363">
        <f>84252.49+70813.67+29902.8+29703</f>
        <v>214671.96</v>
      </c>
      <c r="W94" s="363">
        <v>86318.720000000001</v>
      </c>
      <c r="X94" s="363">
        <f>16912.08+6469.72+4235.16+30321+42896.89+70884.49+24385.74</f>
        <v>196105.08000000002</v>
      </c>
      <c r="Y94" s="363">
        <v>88417.4</v>
      </c>
      <c r="Z94" s="363">
        <f>37980.94+50011.46+425</f>
        <v>88417.4</v>
      </c>
      <c r="AA94" s="363">
        <v>66110</v>
      </c>
      <c r="AB94" s="363">
        <v>24399.41</v>
      </c>
      <c r="AC94" s="338">
        <f t="shared" si="1"/>
        <v>81933.579999999754</v>
      </c>
      <c r="AH94" s="682"/>
      <c r="AI94" s="682"/>
      <c r="AJ94" s="682"/>
      <c r="AK94" s="682"/>
      <c r="AL94" s="682"/>
      <c r="AM94" s="682"/>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c r="CC94" s="682"/>
      <c r="CD94" s="682"/>
      <c r="CE94" s="682"/>
      <c r="CF94" s="682"/>
      <c r="CG94" s="682"/>
      <c r="CH94" s="682"/>
      <c r="CI94" s="682"/>
      <c r="CJ94" s="682"/>
      <c r="CK94" s="682"/>
      <c r="CL94" s="682"/>
      <c r="CM94" s="682"/>
      <c r="CN94" s="682"/>
      <c r="CO94" s="682"/>
      <c r="CP94" s="682"/>
      <c r="CQ94" s="682"/>
      <c r="CR94" s="682"/>
      <c r="CS94" s="682"/>
      <c r="CT94" s="682"/>
      <c r="CU94" s="682"/>
      <c r="CV94" s="682"/>
      <c r="CW94" s="682"/>
      <c r="CX94" s="682"/>
      <c r="CY94" s="682"/>
      <c r="CZ94" s="682"/>
      <c r="DA94" s="682"/>
      <c r="DB94" s="682"/>
      <c r="DC94" s="682"/>
      <c r="DD94" s="682"/>
      <c r="DE94" s="682"/>
      <c r="DF94" s="682"/>
      <c r="DG94" s="682"/>
      <c r="DH94" s="682"/>
      <c r="DI94" s="682"/>
      <c r="DJ94" s="682"/>
      <c r="DK94" s="682"/>
      <c r="DL94" s="682"/>
      <c r="DM94" s="682"/>
      <c r="DN94" s="682"/>
      <c r="DO94" s="682"/>
      <c r="DP94" s="682"/>
      <c r="DQ94" s="682"/>
      <c r="DR94" s="682"/>
      <c r="DS94" s="682"/>
      <c r="DT94" s="682"/>
      <c r="DU94" s="682"/>
      <c r="DV94" s="682"/>
      <c r="DW94" s="682"/>
      <c r="DX94" s="682"/>
      <c r="DY94" s="682"/>
      <c r="DZ94" s="682"/>
      <c r="EA94" s="682"/>
      <c r="EB94" s="682"/>
      <c r="EC94" s="682"/>
      <c r="ED94" s="682"/>
      <c r="EE94" s="682"/>
      <c r="EF94" s="682"/>
      <c r="EG94" s="682"/>
      <c r="EH94" s="682"/>
      <c r="EI94" s="682"/>
      <c r="EJ94" s="682"/>
      <c r="EK94" s="682"/>
      <c r="EL94" s="682"/>
      <c r="EM94" s="682"/>
      <c r="EN94" s="682"/>
      <c r="EO94" s="682"/>
      <c r="EP94" s="682"/>
      <c r="EQ94" s="682"/>
      <c r="ER94" s="682"/>
      <c r="ES94" s="682"/>
      <c r="ET94" s="682"/>
      <c r="EU94" s="682"/>
      <c r="EV94" s="682"/>
      <c r="EW94" s="682"/>
      <c r="EX94" s="682"/>
      <c r="EY94" s="682"/>
      <c r="EZ94" s="682"/>
      <c r="FA94" s="682"/>
      <c r="FB94" s="682"/>
      <c r="FC94" s="682"/>
      <c r="FD94" s="682"/>
      <c r="FE94" s="682"/>
      <c r="FF94" s="682"/>
      <c r="FG94" s="682"/>
      <c r="FH94" s="682"/>
      <c r="FI94" s="682"/>
      <c r="FJ94" s="682"/>
      <c r="FK94" s="682"/>
      <c r="FL94" s="682"/>
      <c r="FM94" s="682"/>
      <c r="FN94" s="682"/>
      <c r="FO94" s="682"/>
      <c r="FP94" s="682"/>
      <c r="FQ94" s="682"/>
      <c r="FR94" s="682"/>
      <c r="FS94" s="682"/>
      <c r="FT94" s="682"/>
      <c r="FU94" s="682"/>
      <c r="FV94" s="682"/>
      <c r="FW94" s="682"/>
      <c r="FX94" s="682"/>
      <c r="FY94" s="682"/>
      <c r="FZ94" s="682"/>
      <c r="GA94" s="682"/>
      <c r="GB94" s="682"/>
      <c r="GC94" s="682"/>
      <c r="GD94" s="682"/>
      <c r="GE94" s="682"/>
    </row>
    <row r="95" spans="1:187" x14ac:dyDescent="0.6">
      <c r="A95" s="379" t="s">
        <v>70</v>
      </c>
      <c r="B95" s="353">
        <f>'2013-2014'!AC70-613.53</f>
        <v>-79164.390000000276</v>
      </c>
      <c r="C95" s="370"/>
      <c r="D95" s="370">
        <v>187340.02</v>
      </c>
      <c r="E95" s="339">
        <v>236696.91</v>
      </c>
      <c r="F95" s="339"/>
      <c r="G95" s="339">
        <v>137846.46</v>
      </c>
      <c r="H95" s="339">
        <f>236696.91+137846.46+220824.81</f>
        <v>595368.17999999993</v>
      </c>
      <c r="I95" s="339">
        <v>200877.75</v>
      </c>
      <c r="J95" s="339"/>
      <c r="K95" s="339">
        <v>139471.31</v>
      </c>
      <c r="L95" s="339"/>
      <c r="M95" s="339">
        <v>359657.97</v>
      </c>
      <c r="N95" s="339">
        <v>340349.06</v>
      </c>
      <c r="O95" s="339">
        <v>149328.98000000001</v>
      </c>
      <c r="P95" s="339">
        <v>359657.97</v>
      </c>
      <c r="Q95" s="339">
        <v>545635.15</v>
      </c>
      <c r="R95" s="338">
        <f>149328.98</f>
        <v>149328.98000000001</v>
      </c>
      <c r="S95" s="338">
        <v>429735.95</v>
      </c>
      <c r="T95" s="355"/>
      <c r="U95" s="355">
        <v>243326.93</v>
      </c>
      <c r="V95" s="355"/>
      <c r="W95" s="355">
        <v>312947.55</v>
      </c>
      <c r="X95" s="355">
        <v>672449.35</v>
      </c>
      <c r="Y95" s="355">
        <v>473419.53</v>
      </c>
      <c r="Z95" s="355">
        <f>312947.55+473419.53</f>
        <v>786367.08000000007</v>
      </c>
      <c r="AA95" s="355">
        <v>110384.46</v>
      </c>
      <c r="AB95" s="355">
        <v>126649.65</v>
      </c>
      <c r="AC95" s="338">
        <f t="shared" si="1"/>
        <v>295953.56999999983</v>
      </c>
      <c r="AH95" s="682"/>
      <c r="AI95" s="682"/>
      <c r="AJ95" s="682"/>
      <c r="AK95" s="682"/>
      <c r="AL95" s="682"/>
      <c r="AM95" s="682"/>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c r="CC95" s="682"/>
      <c r="CD95" s="682"/>
      <c r="CE95" s="682"/>
      <c r="CF95" s="682"/>
      <c r="CG95" s="682"/>
      <c r="CH95" s="682"/>
      <c r="CI95" s="682"/>
      <c r="CJ95" s="682"/>
      <c r="CK95" s="682"/>
      <c r="CL95" s="682"/>
      <c r="CM95" s="682"/>
      <c r="CN95" s="682"/>
      <c r="CO95" s="682"/>
      <c r="CP95" s="682"/>
      <c r="CQ95" s="682"/>
      <c r="CR95" s="682"/>
      <c r="CS95" s="682"/>
      <c r="CT95" s="682"/>
      <c r="CU95" s="682"/>
      <c r="CV95" s="682"/>
      <c r="CW95" s="682"/>
      <c r="CX95" s="682"/>
      <c r="CY95" s="682"/>
      <c r="CZ95" s="682"/>
      <c r="DA95" s="682"/>
      <c r="DB95" s="682"/>
      <c r="DC95" s="682"/>
      <c r="DD95" s="682"/>
      <c r="DE95" s="682"/>
      <c r="DF95" s="682"/>
      <c r="DG95" s="682"/>
      <c r="DH95" s="682"/>
      <c r="DI95" s="682"/>
      <c r="DJ95" s="682"/>
      <c r="DK95" s="682"/>
      <c r="DL95" s="682"/>
      <c r="DM95" s="682"/>
      <c r="DN95" s="682"/>
      <c r="DO95" s="682"/>
      <c r="DP95" s="682"/>
      <c r="DQ95" s="682"/>
      <c r="DR95" s="682"/>
      <c r="DS95" s="682"/>
      <c r="DT95" s="682"/>
      <c r="DU95" s="682"/>
      <c r="DV95" s="682"/>
      <c r="DW95" s="682"/>
      <c r="DX95" s="682"/>
      <c r="DY95" s="682"/>
      <c r="DZ95" s="682"/>
      <c r="EA95" s="682"/>
      <c r="EB95" s="682"/>
      <c r="EC95" s="682"/>
      <c r="ED95" s="682"/>
      <c r="EE95" s="682"/>
      <c r="EF95" s="682"/>
      <c r="EG95" s="682"/>
      <c r="EH95" s="682"/>
      <c r="EI95" s="682"/>
      <c r="EJ95" s="682"/>
      <c r="EK95" s="682"/>
      <c r="EL95" s="682"/>
      <c r="EM95" s="682"/>
      <c r="EN95" s="682"/>
      <c r="EO95" s="682"/>
      <c r="EP95" s="682"/>
      <c r="EQ95" s="682"/>
      <c r="ER95" s="682"/>
      <c r="ES95" s="682"/>
      <c r="ET95" s="682"/>
      <c r="EU95" s="682"/>
      <c r="EV95" s="682"/>
      <c r="EW95" s="682"/>
      <c r="EX95" s="682"/>
      <c r="EY95" s="682"/>
      <c r="EZ95" s="682"/>
      <c r="FA95" s="682"/>
      <c r="FB95" s="682"/>
      <c r="FC95" s="682"/>
      <c r="FD95" s="682"/>
      <c r="FE95" s="682"/>
      <c r="FF95" s="682"/>
      <c r="FG95" s="682"/>
      <c r="FH95" s="682"/>
      <c r="FI95" s="682"/>
      <c r="FJ95" s="682"/>
      <c r="FK95" s="682"/>
      <c r="FL95" s="682"/>
      <c r="FM95" s="682"/>
      <c r="FN95" s="682"/>
      <c r="FO95" s="682"/>
      <c r="FP95" s="682"/>
      <c r="FQ95" s="682"/>
      <c r="FR95" s="682"/>
      <c r="FS95" s="682"/>
      <c r="FT95" s="682"/>
      <c r="FU95" s="682"/>
      <c r="FV95" s="682"/>
      <c r="FW95" s="682"/>
      <c r="FX95" s="682"/>
      <c r="FY95" s="682"/>
      <c r="FZ95" s="682"/>
      <c r="GA95" s="682"/>
      <c r="GB95" s="682"/>
      <c r="GC95" s="682"/>
      <c r="GD95" s="682"/>
      <c r="GE95" s="682"/>
    </row>
    <row r="96" spans="1:187" x14ac:dyDescent="0.6">
      <c r="A96" s="379" t="s">
        <v>58</v>
      </c>
      <c r="B96" s="353">
        <f>'2013-2014'!AC51</f>
        <v>1742453.02</v>
      </c>
      <c r="C96" s="370">
        <v>0</v>
      </c>
      <c r="D96" s="370"/>
      <c r="E96" s="339">
        <v>308353.89</v>
      </c>
      <c r="F96" s="339">
        <v>402175.54</v>
      </c>
      <c r="G96" s="339">
        <v>299513.78000000003</v>
      </c>
      <c r="H96" s="339">
        <f>296409.89+294238.78</f>
        <v>590648.67000000004</v>
      </c>
      <c r="I96" s="339">
        <v>-833243.72</v>
      </c>
      <c r="J96" s="339">
        <v>0</v>
      </c>
      <c r="K96" s="339">
        <v>346540.22</v>
      </c>
      <c r="L96" s="339"/>
      <c r="M96" s="339">
        <v>297903.78000000003</v>
      </c>
      <c r="N96" s="339">
        <v>607544.03</v>
      </c>
      <c r="O96" s="339">
        <v>304828.06</v>
      </c>
      <c r="P96" s="339">
        <v>291234.78000000003</v>
      </c>
      <c r="Q96" s="339">
        <v>886446.18</v>
      </c>
      <c r="R96" s="339">
        <v>304828.06</v>
      </c>
      <c r="S96" s="339">
        <v>686026.78</v>
      </c>
      <c r="T96" s="380">
        <f>314017.05</f>
        <v>314017.05</v>
      </c>
      <c r="U96" s="380">
        <v>518449.96</v>
      </c>
      <c r="V96" s="338">
        <v>686026.78</v>
      </c>
      <c r="W96" s="338">
        <v>352552</v>
      </c>
      <c r="X96" s="338">
        <f>518449.96+352552</f>
        <v>871001.96</v>
      </c>
      <c r="Y96" s="338">
        <v>405589.8</v>
      </c>
      <c r="Z96" s="354">
        <v>405589.8</v>
      </c>
      <c r="AA96" s="354">
        <v>258190.26</v>
      </c>
      <c r="AB96" s="354">
        <v>139440.20000000001</v>
      </c>
      <c r="AC96" s="338">
        <f t="shared" si="1"/>
        <v>1239977.5399999998</v>
      </c>
      <c r="AF96" s="381"/>
      <c r="AG96" s="381"/>
      <c r="AH96" s="701"/>
      <c r="AI96" s="701"/>
      <c r="AJ96" s="701"/>
      <c r="AK96" s="701"/>
      <c r="AL96" s="701"/>
      <c r="AM96" s="701"/>
      <c r="AN96" s="701"/>
      <c r="AO96" s="701"/>
      <c r="AP96" s="701"/>
      <c r="AQ96" s="701"/>
      <c r="AR96" s="701"/>
      <c r="AS96" s="701"/>
      <c r="AT96" s="701"/>
      <c r="AU96" s="701"/>
      <c r="AV96" s="701"/>
      <c r="AW96" s="701"/>
      <c r="AX96" s="701"/>
      <c r="AY96" s="701"/>
      <c r="AZ96" s="701"/>
      <c r="BA96" s="701"/>
      <c r="BB96" s="701"/>
      <c r="BC96" s="701"/>
      <c r="BD96" s="701"/>
      <c r="BE96" s="701"/>
      <c r="BF96" s="701"/>
      <c r="BG96" s="701"/>
      <c r="BH96" s="701"/>
      <c r="BI96" s="701"/>
      <c r="BJ96" s="701"/>
      <c r="BK96" s="701"/>
      <c r="BL96" s="701"/>
      <c r="BM96" s="701"/>
      <c r="BN96" s="701"/>
      <c r="BO96" s="701"/>
      <c r="BP96" s="701"/>
      <c r="BQ96" s="701"/>
      <c r="BR96" s="701"/>
      <c r="BS96" s="701"/>
      <c r="BT96" s="701"/>
      <c r="BU96" s="701"/>
      <c r="BV96" s="701"/>
      <c r="BW96" s="701"/>
      <c r="BX96" s="701"/>
      <c r="BY96" s="701"/>
      <c r="BZ96" s="701"/>
      <c r="CA96" s="701"/>
      <c r="CB96" s="701"/>
      <c r="CC96" s="701"/>
      <c r="CD96" s="701"/>
      <c r="CE96" s="701"/>
      <c r="CF96" s="701"/>
      <c r="CG96" s="701"/>
      <c r="CH96" s="701"/>
      <c r="CI96" s="701"/>
      <c r="CJ96" s="701"/>
      <c r="CK96" s="701"/>
      <c r="CL96" s="701"/>
      <c r="CM96" s="701"/>
      <c r="CN96" s="701"/>
      <c r="CO96" s="701"/>
      <c r="CP96" s="701"/>
      <c r="CQ96" s="701"/>
      <c r="CR96" s="701"/>
      <c r="CS96" s="701"/>
      <c r="CT96" s="701"/>
      <c r="CU96" s="701"/>
      <c r="CV96" s="701"/>
      <c r="CW96" s="701"/>
      <c r="CX96" s="701"/>
      <c r="CY96" s="701"/>
      <c r="CZ96" s="701"/>
      <c r="DA96" s="701"/>
      <c r="DB96" s="701"/>
      <c r="DC96" s="701"/>
      <c r="DD96" s="701"/>
      <c r="DE96" s="701"/>
      <c r="DF96" s="701"/>
      <c r="DG96" s="701"/>
      <c r="DH96" s="701"/>
      <c r="DI96" s="701"/>
      <c r="DJ96" s="701"/>
      <c r="DK96" s="701"/>
      <c r="DL96" s="701"/>
      <c r="DM96" s="701"/>
      <c r="DN96" s="701"/>
      <c r="DO96" s="701"/>
      <c r="DP96" s="701"/>
      <c r="DQ96" s="701"/>
      <c r="DR96" s="701"/>
      <c r="DS96" s="701"/>
      <c r="DT96" s="701"/>
      <c r="DU96" s="701"/>
      <c r="DV96" s="701"/>
      <c r="DW96" s="701"/>
      <c r="DX96" s="701"/>
      <c r="DY96" s="701"/>
      <c r="DZ96" s="701"/>
      <c r="EA96" s="701"/>
      <c r="EB96" s="701"/>
      <c r="EC96" s="701"/>
      <c r="ED96" s="701"/>
      <c r="EE96" s="701"/>
      <c r="EF96" s="701"/>
      <c r="EG96" s="701"/>
      <c r="EH96" s="701"/>
      <c r="EI96" s="701"/>
      <c r="EJ96" s="701"/>
      <c r="EK96" s="701"/>
      <c r="EL96" s="701"/>
      <c r="EM96" s="701"/>
      <c r="EN96" s="701"/>
      <c r="EO96" s="701"/>
      <c r="EP96" s="701"/>
      <c r="EQ96" s="701"/>
      <c r="ER96" s="701"/>
      <c r="ES96" s="701"/>
      <c r="ET96" s="701"/>
      <c r="EU96" s="701"/>
      <c r="EV96" s="701"/>
      <c r="EW96" s="701"/>
      <c r="EX96" s="701"/>
      <c r="EY96" s="701"/>
      <c r="EZ96" s="701"/>
      <c r="FA96" s="701"/>
      <c r="FB96" s="701"/>
      <c r="FC96" s="701"/>
      <c r="FD96" s="701"/>
      <c r="FE96" s="701"/>
      <c r="FF96" s="701"/>
      <c r="FG96" s="701"/>
      <c r="FH96" s="701"/>
      <c r="FI96" s="701"/>
      <c r="FJ96" s="701"/>
      <c r="FK96" s="701"/>
      <c r="FL96" s="701"/>
      <c r="FM96" s="701"/>
      <c r="FN96" s="701"/>
      <c r="FO96" s="701"/>
      <c r="FP96" s="701"/>
      <c r="FQ96" s="701"/>
      <c r="FR96" s="701"/>
      <c r="FS96" s="701"/>
      <c r="FT96" s="701"/>
      <c r="FU96" s="701"/>
      <c r="FV96" s="701"/>
      <c r="FW96" s="701"/>
      <c r="FX96" s="701"/>
      <c r="FY96" s="701"/>
      <c r="FZ96" s="701"/>
      <c r="GA96" s="701"/>
      <c r="GB96" s="701"/>
      <c r="GC96" s="701"/>
      <c r="GD96" s="701"/>
      <c r="GE96" s="701"/>
    </row>
    <row r="97" spans="1:187" x14ac:dyDescent="0.6">
      <c r="A97" s="379" t="s">
        <v>194</v>
      </c>
      <c r="B97" s="370">
        <f>'2013-2014'!AC45</f>
        <v>0</v>
      </c>
      <c r="C97" s="370"/>
      <c r="D97" s="370"/>
      <c r="E97" s="339">
        <v>0</v>
      </c>
      <c r="F97" s="339"/>
      <c r="G97" s="339">
        <v>0</v>
      </c>
      <c r="H97" s="339"/>
      <c r="I97" s="339">
        <v>-487268.6</v>
      </c>
      <c r="J97" s="339"/>
      <c r="K97" s="339">
        <v>0</v>
      </c>
      <c r="L97" s="339"/>
      <c r="M97" s="339">
        <v>0</v>
      </c>
      <c r="N97" s="339"/>
      <c r="O97" s="339">
        <v>0</v>
      </c>
      <c r="P97" s="339"/>
      <c r="Q97" s="339">
        <v>0</v>
      </c>
      <c r="R97" s="339"/>
      <c r="S97" s="339">
        <v>0</v>
      </c>
      <c r="T97" s="382"/>
      <c r="U97" s="382">
        <v>0</v>
      </c>
      <c r="V97" s="380"/>
      <c r="W97" s="380">
        <v>0</v>
      </c>
      <c r="X97" s="339"/>
      <c r="Y97" s="339">
        <v>0</v>
      </c>
      <c r="Z97" s="383"/>
      <c r="AA97" s="383">
        <v>0</v>
      </c>
      <c r="AB97" s="383">
        <v>0</v>
      </c>
      <c r="AC97" s="338">
        <f t="shared" si="1"/>
        <v>-487268.6</v>
      </c>
      <c r="AF97" s="381"/>
      <c r="AG97" s="381"/>
      <c r="AH97" s="701"/>
      <c r="AI97" s="701"/>
      <c r="AJ97" s="701"/>
      <c r="AK97" s="701"/>
      <c r="AL97" s="701"/>
      <c r="AM97" s="701"/>
      <c r="AN97" s="701"/>
      <c r="AO97" s="701"/>
      <c r="AP97" s="701"/>
      <c r="AQ97" s="701"/>
      <c r="AR97" s="701"/>
      <c r="AS97" s="701"/>
      <c r="AT97" s="701"/>
      <c r="AU97" s="701"/>
      <c r="AV97" s="701"/>
      <c r="AW97" s="701"/>
      <c r="AX97" s="701"/>
      <c r="AY97" s="701"/>
      <c r="AZ97" s="701"/>
      <c r="BA97" s="701"/>
      <c r="BB97" s="701"/>
      <c r="BC97" s="701"/>
      <c r="BD97" s="701"/>
      <c r="BE97" s="701"/>
      <c r="BF97" s="701"/>
      <c r="BG97" s="701"/>
      <c r="BH97" s="701"/>
      <c r="BI97" s="701"/>
      <c r="BJ97" s="701"/>
      <c r="BK97" s="701"/>
      <c r="BL97" s="701"/>
      <c r="BM97" s="701"/>
      <c r="BN97" s="701"/>
      <c r="BO97" s="701"/>
      <c r="BP97" s="701"/>
      <c r="BQ97" s="701"/>
      <c r="BR97" s="701"/>
      <c r="BS97" s="701"/>
      <c r="BT97" s="701"/>
      <c r="BU97" s="701"/>
      <c r="BV97" s="701"/>
      <c r="BW97" s="701"/>
      <c r="BX97" s="701"/>
      <c r="BY97" s="701"/>
      <c r="BZ97" s="701"/>
      <c r="CA97" s="701"/>
      <c r="CB97" s="701"/>
      <c r="CC97" s="701"/>
      <c r="CD97" s="701"/>
      <c r="CE97" s="701"/>
      <c r="CF97" s="701"/>
      <c r="CG97" s="701"/>
      <c r="CH97" s="701"/>
      <c r="CI97" s="701"/>
      <c r="CJ97" s="701"/>
      <c r="CK97" s="701"/>
      <c r="CL97" s="701"/>
      <c r="CM97" s="701"/>
      <c r="CN97" s="701"/>
      <c r="CO97" s="701"/>
      <c r="CP97" s="701"/>
      <c r="CQ97" s="701"/>
      <c r="CR97" s="701"/>
      <c r="CS97" s="701"/>
      <c r="CT97" s="701"/>
      <c r="CU97" s="701"/>
      <c r="CV97" s="701"/>
      <c r="CW97" s="701"/>
      <c r="CX97" s="701"/>
      <c r="CY97" s="701"/>
      <c r="CZ97" s="701"/>
      <c r="DA97" s="701"/>
      <c r="DB97" s="701"/>
      <c r="DC97" s="701"/>
      <c r="DD97" s="701"/>
      <c r="DE97" s="701"/>
      <c r="DF97" s="701"/>
      <c r="DG97" s="701"/>
      <c r="DH97" s="701"/>
      <c r="DI97" s="701"/>
      <c r="DJ97" s="701"/>
      <c r="DK97" s="701"/>
      <c r="DL97" s="701"/>
      <c r="DM97" s="701"/>
      <c r="DN97" s="701"/>
      <c r="DO97" s="701"/>
      <c r="DP97" s="701"/>
      <c r="DQ97" s="701"/>
      <c r="DR97" s="701"/>
      <c r="DS97" s="701"/>
      <c r="DT97" s="701"/>
      <c r="DU97" s="701"/>
      <c r="DV97" s="701"/>
      <c r="DW97" s="701"/>
      <c r="DX97" s="701"/>
      <c r="DY97" s="701"/>
      <c r="DZ97" s="701"/>
      <c r="EA97" s="701"/>
      <c r="EB97" s="701"/>
      <c r="EC97" s="701"/>
      <c r="ED97" s="701"/>
      <c r="EE97" s="701"/>
      <c r="EF97" s="701"/>
      <c r="EG97" s="701"/>
      <c r="EH97" s="701"/>
      <c r="EI97" s="701"/>
      <c r="EJ97" s="701"/>
      <c r="EK97" s="701"/>
      <c r="EL97" s="701"/>
      <c r="EM97" s="701"/>
      <c r="EN97" s="701"/>
      <c r="EO97" s="701"/>
      <c r="EP97" s="701"/>
      <c r="EQ97" s="701"/>
      <c r="ER97" s="701"/>
      <c r="ES97" s="701"/>
      <c r="ET97" s="701"/>
      <c r="EU97" s="701"/>
      <c r="EV97" s="701"/>
      <c r="EW97" s="701"/>
      <c r="EX97" s="701"/>
      <c r="EY97" s="701"/>
      <c r="EZ97" s="701"/>
      <c r="FA97" s="701"/>
      <c r="FB97" s="701"/>
      <c r="FC97" s="701"/>
      <c r="FD97" s="701"/>
      <c r="FE97" s="701"/>
      <c r="FF97" s="701"/>
      <c r="FG97" s="701"/>
      <c r="FH97" s="701"/>
      <c r="FI97" s="701"/>
      <c r="FJ97" s="701"/>
      <c r="FK97" s="701"/>
      <c r="FL97" s="701"/>
      <c r="FM97" s="701"/>
      <c r="FN97" s="701"/>
      <c r="FO97" s="701"/>
      <c r="FP97" s="701"/>
      <c r="FQ97" s="701"/>
      <c r="FR97" s="701"/>
      <c r="FS97" s="701"/>
      <c r="FT97" s="701"/>
      <c r="FU97" s="701"/>
      <c r="FV97" s="701"/>
      <c r="FW97" s="701"/>
      <c r="FX97" s="701"/>
      <c r="FY97" s="701"/>
      <c r="FZ97" s="701"/>
      <c r="GA97" s="701"/>
      <c r="GB97" s="701"/>
      <c r="GC97" s="701"/>
      <c r="GD97" s="701"/>
      <c r="GE97" s="701"/>
    </row>
    <row r="98" spans="1:187" s="325" customFormat="1" x14ac:dyDescent="0.6">
      <c r="A98" s="379" t="s">
        <v>27</v>
      </c>
      <c r="B98" s="370">
        <f>'2013-2014'!AC23</f>
        <v>1228409.6699999964</v>
      </c>
      <c r="C98" s="370">
        <v>0</v>
      </c>
      <c r="D98" s="370">
        <v>1923566.34</v>
      </c>
      <c r="E98" s="339">
        <v>3550187.1</v>
      </c>
      <c r="F98" s="339">
        <v>3550187.1</v>
      </c>
      <c r="G98" s="339">
        <v>1455620.93</v>
      </c>
      <c r="H98" s="339">
        <v>1455620.93</v>
      </c>
      <c r="I98" s="339">
        <v>-4197131.6900000004</v>
      </c>
      <c r="J98" s="339"/>
      <c r="K98" s="339">
        <v>1872407.74</v>
      </c>
      <c r="L98" s="339"/>
      <c r="M98" s="339">
        <v>5429584.1100000003</v>
      </c>
      <c r="N98" s="339">
        <v>3104860.1600000001</v>
      </c>
      <c r="O98" s="339">
        <v>1102236.1399999999</v>
      </c>
      <c r="P98" s="339">
        <v>1102236.1399999999</v>
      </c>
      <c r="Q98" s="339">
        <v>3288100.73</v>
      </c>
      <c r="R98" s="339"/>
      <c r="S98" s="339">
        <v>2519355.19</v>
      </c>
      <c r="T98" s="339">
        <f>3288100.73+2519355.19</f>
        <v>5807455.9199999999</v>
      </c>
      <c r="U98" s="339">
        <v>1528252.89</v>
      </c>
      <c r="V98" s="339">
        <v>1528252.89</v>
      </c>
      <c r="W98" s="339">
        <v>1345907.57</v>
      </c>
      <c r="X98" s="339">
        <v>1345907.57</v>
      </c>
      <c r="Y98" s="339">
        <v>1507504.76</v>
      </c>
      <c r="Z98" s="339">
        <f>1507504.76+1156697.7</f>
        <v>2664202.46</v>
      </c>
      <c r="AA98" s="339">
        <v>1156697.7</v>
      </c>
      <c r="AB98" s="339">
        <v>390635.69</v>
      </c>
      <c r="AC98" s="338">
        <f t="shared" si="1"/>
        <v>-304520.98000000365</v>
      </c>
      <c r="AD98" s="344"/>
      <c r="AE98" s="345"/>
      <c r="AF98" s="381"/>
      <c r="AG98" s="381"/>
      <c r="AH98" s="701"/>
      <c r="AI98" s="701"/>
      <c r="AJ98" s="701"/>
      <c r="AK98" s="701"/>
      <c r="AL98" s="701"/>
      <c r="AM98" s="701"/>
      <c r="AN98" s="701"/>
      <c r="AO98" s="701"/>
      <c r="AP98" s="701"/>
      <c r="AQ98" s="701"/>
      <c r="AR98" s="701"/>
      <c r="AS98" s="701"/>
      <c r="AT98" s="701"/>
      <c r="AU98" s="701"/>
      <c r="AV98" s="701"/>
      <c r="AW98" s="701"/>
      <c r="AX98" s="701"/>
      <c r="AY98" s="701"/>
      <c r="AZ98" s="701"/>
      <c r="BA98" s="701"/>
      <c r="BB98" s="701"/>
      <c r="BC98" s="701"/>
      <c r="BD98" s="701"/>
      <c r="BE98" s="701"/>
      <c r="BF98" s="701"/>
      <c r="BG98" s="701"/>
      <c r="BH98" s="701"/>
      <c r="BI98" s="701"/>
      <c r="BJ98" s="701"/>
      <c r="BK98" s="701"/>
      <c r="BL98" s="701"/>
      <c r="BM98" s="701"/>
      <c r="BN98" s="701"/>
      <c r="BO98" s="701"/>
      <c r="BP98" s="701"/>
      <c r="BQ98" s="701"/>
      <c r="BR98" s="701"/>
      <c r="BS98" s="701"/>
      <c r="BT98" s="701"/>
      <c r="BU98" s="701"/>
      <c r="BV98" s="701"/>
      <c r="BW98" s="701"/>
      <c r="BX98" s="701"/>
      <c r="BY98" s="701"/>
      <c r="BZ98" s="701"/>
      <c r="CA98" s="701"/>
      <c r="CB98" s="701"/>
      <c r="CC98" s="701"/>
      <c r="CD98" s="701"/>
      <c r="CE98" s="701"/>
      <c r="CF98" s="701"/>
      <c r="CG98" s="701"/>
      <c r="CH98" s="701"/>
      <c r="CI98" s="701"/>
      <c r="CJ98" s="701"/>
      <c r="CK98" s="701"/>
      <c r="CL98" s="701"/>
      <c r="CM98" s="701"/>
      <c r="CN98" s="701"/>
      <c r="CO98" s="701"/>
      <c r="CP98" s="701"/>
      <c r="CQ98" s="701"/>
      <c r="CR98" s="701"/>
      <c r="CS98" s="701"/>
      <c r="CT98" s="701"/>
      <c r="CU98" s="701"/>
      <c r="CV98" s="701"/>
      <c r="CW98" s="701"/>
      <c r="CX98" s="701"/>
      <c r="CY98" s="701"/>
      <c r="CZ98" s="701"/>
      <c r="DA98" s="701"/>
      <c r="DB98" s="701"/>
      <c r="DC98" s="701"/>
      <c r="DD98" s="701"/>
      <c r="DE98" s="701"/>
      <c r="DF98" s="701"/>
      <c r="DG98" s="701"/>
      <c r="DH98" s="701"/>
      <c r="DI98" s="701"/>
      <c r="DJ98" s="701"/>
      <c r="DK98" s="701"/>
      <c r="DL98" s="701"/>
      <c r="DM98" s="701"/>
      <c r="DN98" s="701"/>
      <c r="DO98" s="701"/>
      <c r="DP98" s="701"/>
      <c r="DQ98" s="701"/>
      <c r="DR98" s="701"/>
      <c r="DS98" s="701"/>
      <c r="DT98" s="701"/>
      <c r="DU98" s="701"/>
      <c r="DV98" s="701"/>
      <c r="DW98" s="701"/>
      <c r="DX98" s="701"/>
      <c r="DY98" s="701"/>
      <c r="DZ98" s="701"/>
      <c r="EA98" s="701"/>
      <c r="EB98" s="701"/>
      <c r="EC98" s="701"/>
      <c r="ED98" s="701"/>
      <c r="EE98" s="701"/>
      <c r="EF98" s="701"/>
      <c r="EG98" s="701"/>
      <c r="EH98" s="701"/>
      <c r="EI98" s="701"/>
      <c r="EJ98" s="701"/>
      <c r="EK98" s="701"/>
      <c r="EL98" s="701"/>
      <c r="EM98" s="701"/>
      <c r="EN98" s="701"/>
      <c r="EO98" s="701"/>
      <c r="EP98" s="701"/>
      <c r="EQ98" s="701"/>
      <c r="ER98" s="701"/>
      <c r="ES98" s="701"/>
      <c r="ET98" s="701"/>
      <c r="EU98" s="701"/>
      <c r="EV98" s="701"/>
      <c r="EW98" s="701"/>
      <c r="EX98" s="701"/>
      <c r="EY98" s="701"/>
      <c r="EZ98" s="701"/>
      <c r="FA98" s="701"/>
      <c r="FB98" s="701"/>
      <c r="FC98" s="701"/>
      <c r="FD98" s="701"/>
      <c r="FE98" s="701"/>
      <c r="FF98" s="701"/>
      <c r="FG98" s="701"/>
      <c r="FH98" s="701"/>
      <c r="FI98" s="701"/>
      <c r="FJ98" s="701"/>
      <c r="FK98" s="701"/>
      <c r="FL98" s="701"/>
      <c r="FM98" s="701"/>
      <c r="FN98" s="701"/>
      <c r="FO98" s="701"/>
      <c r="FP98" s="701"/>
      <c r="FQ98" s="701"/>
      <c r="FR98" s="701"/>
      <c r="FS98" s="701"/>
      <c r="FT98" s="701"/>
      <c r="FU98" s="701"/>
      <c r="FV98" s="701"/>
      <c r="FW98" s="701"/>
      <c r="FX98" s="701"/>
      <c r="FY98" s="701"/>
      <c r="FZ98" s="701"/>
      <c r="GA98" s="701"/>
      <c r="GB98" s="701"/>
      <c r="GC98" s="701"/>
      <c r="GD98" s="701"/>
      <c r="GE98" s="701"/>
    </row>
    <row r="99" spans="1:187" s="92" customFormat="1" x14ac:dyDescent="0.6">
      <c r="A99" s="369" t="s">
        <v>339</v>
      </c>
      <c r="B99" s="353"/>
      <c r="C99" s="353"/>
      <c r="D99" s="353"/>
      <c r="E99" s="338"/>
      <c r="F99" s="338"/>
      <c r="G99" s="338"/>
      <c r="H99" s="338"/>
      <c r="I99" s="338"/>
      <c r="J99" s="338"/>
      <c r="K99" s="338"/>
      <c r="L99" s="338"/>
      <c r="M99" s="338"/>
      <c r="N99" s="338"/>
      <c r="O99" s="338">
        <v>21102.39</v>
      </c>
      <c r="P99" s="338"/>
      <c r="Q99" s="338">
        <v>47939.31</v>
      </c>
      <c r="R99" s="338"/>
      <c r="S99" s="338">
        <v>63168.26</v>
      </c>
      <c r="T99" s="338"/>
      <c r="U99" s="338">
        <v>10759.81</v>
      </c>
      <c r="V99" s="338"/>
      <c r="W99" s="338">
        <v>0</v>
      </c>
      <c r="X99" s="338"/>
      <c r="Y99" s="338">
        <v>0</v>
      </c>
      <c r="Z99" s="338"/>
      <c r="AA99" s="338">
        <v>0</v>
      </c>
      <c r="AB99" s="338">
        <v>0</v>
      </c>
      <c r="AC99" s="338">
        <f t="shared" si="1"/>
        <v>142969.76999999999</v>
      </c>
      <c r="AD99" s="344"/>
      <c r="AE99" s="345"/>
      <c r="AF99" s="381"/>
      <c r="AG99" s="381"/>
      <c r="AH99" s="701"/>
      <c r="AI99" s="701"/>
      <c r="AJ99" s="701"/>
      <c r="AK99" s="701"/>
      <c r="AL99" s="701"/>
      <c r="AM99" s="701"/>
      <c r="AN99" s="701"/>
      <c r="AO99" s="701"/>
      <c r="AP99" s="701"/>
      <c r="AQ99" s="701"/>
      <c r="AR99" s="701"/>
      <c r="AS99" s="701"/>
      <c r="AT99" s="701"/>
      <c r="AU99" s="701"/>
      <c r="AV99" s="701"/>
      <c r="AW99" s="701"/>
      <c r="AX99" s="701"/>
      <c r="AY99" s="701"/>
      <c r="AZ99" s="701"/>
      <c r="BA99" s="701"/>
      <c r="BB99" s="701"/>
      <c r="BC99" s="701"/>
      <c r="BD99" s="701"/>
      <c r="BE99" s="701"/>
      <c r="BF99" s="701"/>
      <c r="BG99" s="701"/>
      <c r="BH99" s="701"/>
      <c r="BI99" s="701"/>
      <c r="BJ99" s="701"/>
      <c r="BK99" s="701"/>
      <c r="BL99" s="701"/>
      <c r="BM99" s="701"/>
      <c r="BN99" s="701"/>
      <c r="BO99" s="701"/>
      <c r="BP99" s="701"/>
      <c r="BQ99" s="701"/>
      <c r="BR99" s="701"/>
      <c r="BS99" s="701"/>
      <c r="BT99" s="701"/>
      <c r="BU99" s="701"/>
      <c r="BV99" s="701"/>
      <c r="BW99" s="701"/>
      <c r="BX99" s="701"/>
      <c r="BY99" s="701"/>
      <c r="BZ99" s="701"/>
      <c r="CA99" s="701"/>
      <c r="CB99" s="701"/>
      <c r="CC99" s="701"/>
      <c r="CD99" s="701"/>
      <c r="CE99" s="701"/>
      <c r="CF99" s="701"/>
      <c r="CG99" s="701"/>
      <c r="CH99" s="701"/>
      <c r="CI99" s="701"/>
      <c r="CJ99" s="701"/>
      <c r="CK99" s="701"/>
      <c r="CL99" s="701"/>
      <c r="CM99" s="701"/>
      <c r="CN99" s="701"/>
      <c r="CO99" s="701"/>
      <c r="CP99" s="701"/>
      <c r="CQ99" s="701"/>
      <c r="CR99" s="701"/>
      <c r="CS99" s="701"/>
      <c r="CT99" s="701"/>
      <c r="CU99" s="701"/>
      <c r="CV99" s="701"/>
      <c r="CW99" s="701"/>
      <c r="CX99" s="701"/>
      <c r="CY99" s="701"/>
      <c r="CZ99" s="701"/>
      <c r="DA99" s="701"/>
      <c r="DB99" s="701"/>
      <c r="DC99" s="701"/>
      <c r="DD99" s="701"/>
      <c r="DE99" s="701"/>
      <c r="DF99" s="701"/>
      <c r="DG99" s="701"/>
      <c r="DH99" s="701"/>
      <c r="DI99" s="701"/>
      <c r="DJ99" s="701"/>
      <c r="DK99" s="701"/>
      <c r="DL99" s="701"/>
      <c r="DM99" s="701"/>
      <c r="DN99" s="701"/>
      <c r="DO99" s="701"/>
      <c r="DP99" s="701"/>
      <c r="DQ99" s="701"/>
      <c r="DR99" s="701"/>
      <c r="DS99" s="701"/>
      <c r="DT99" s="701"/>
      <c r="DU99" s="701"/>
      <c r="DV99" s="701"/>
      <c r="DW99" s="701"/>
      <c r="DX99" s="701"/>
      <c r="DY99" s="701"/>
      <c r="DZ99" s="701"/>
      <c r="EA99" s="701"/>
      <c r="EB99" s="701"/>
      <c r="EC99" s="701"/>
      <c r="ED99" s="701"/>
      <c r="EE99" s="701"/>
      <c r="EF99" s="701"/>
      <c r="EG99" s="701"/>
      <c r="EH99" s="701"/>
      <c r="EI99" s="701"/>
      <c r="EJ99" s="701"/>
      <c r="EK99" s="701"/>
      <c r="EL99" s="701"/>
      <c r="EM99" s="701"/>
      <c r="EN99" s="701"/>
      <c r="EO99" s="701"/>
      <c r="EP99" s="701"/>
      <c r="EQ99" s="701"/>
      <c r="ER99" s="701"/>
      <c r="ES99" s="701"/>
      <c r="ET99" s="701"/>
      <c r="EU99" s="701"/>
      <c r="EV99" s="701"/>
      <c r="EW99" s="701"/>
      <c r="EX99" s="701"/>
      <c r="EY99" s="701"/>
      <c r="EZ99" s="701"/>
      <c r="FA99" s="701"/>
      <c r="FB99" s="701"/>
      <c r="FC99" s="701"/>
      <c r="FD99" s="701"/>
      <c r="FE99" s="701"/>
      <c r="FF99" s="701"/>
      <c r="FG99" s="701"/>
      <c r="FH99" s="701"/>
      <c r="FI99" s="701"/>
      <c r="FJ99" s="701"/>
      <c r="FK99" s="701"/>
      <c r="FL99" s="701"/>
      <c r="FM99" s="701"/>
      <c r="FN99" s="701"/>
      <c r="FO99" s="701"/>
      <c r="FP99" s="701"/>
      <c r="FQ99" s="701"/>
      <c r="FR99" s="701"/>
      <c r="FS99" s="701"/>
      <c r="FT99" s="701"/>
      <c r="FU99" s="701"/>
      <c r="FV99" s="701"/>
      <c r="FW99" s="701"/>
      <c r="FX99" s="701"/>
      <c r="FY99" s="701"/>
      <c r="FZ99" s="701"/>
      <c r="GA99" s="701"/>
      <c r="GB99" s="701"/>
      <c r="GC99" s="701"/>
      <c r="GD99" s="701"/>
      <c r="GE99" s="701"/>
    </row>
    <row r="100" spans="1:187" s="92" customFormat="1" x14ac:dyDescent="0.6">
      <c r="A100" s="369" t="s">
        <v>340</v>
      </c>
      <c r="B100" s="353"/>
      <c r="C100" s="353"/>
      <c r="D100" s="353"/>
      <c r="E100" s="338"/>
      <c r="F100" s="338"/>
      <c r="G100" s="338"/>
      <c r="H100" s="338"/>
      <c r="I100" s="338"/>
      <c r="J100" s="338"/>
      <c r="K100" s="338"/>
      <c r="L100" s="338"/>
      <c r="M100" s="338"/>
      <c r="N100" s="338"/>
      <c r="O100" s="338">
        <v>622362.48</v>
      </c>
      <c r="P100" s="338"/>
      <c r="Q100" s="338">
        <v>504832.47</v>
      </c>
      <c r="R100" s="338"/>
      <c r="S100" s="338">
        <v>511431.16</v>
      </c>
      <c r="T100" s="338">
        <v>705594.48</v>
      </c>
      <c r="U100" s="338">
        <v>350913.61</v>
      </c>
      <c r="V100" s="338"/>
      <c r="W100" s="338">
        <v>279740.62</v>
      </c>
      <c r="X100" s="338"/>
      <c r="Y100" s="338">
        <v>327821.62</v>
      </c>
      <c r="Z100" s="338">
        <v>862344.77</v>
      </c>
      <c r="AA100" s="338">
        <v>213103.91</v>
      </c>
      <c r="AB100" s="338">
        <v>149836.75</v>
      </c>
      <c r="AC100" s="338">
        <f t="shared" si="1"/>
        <v>1392103.3699999999</v>
      </c>
      <c r="AD100" s="344"/>
      <c r="AE100" s="345"/>
      <c r="AF100" s="381"/>
      <c r="AG100" s="381"/>
      <c r="AH100" s="701"/>
      <c r="AI100" s="701"/>
      <c r="AJ100" s="701"/>
      <c r="AK100" s="701"/>
      <c r="AL100" s="701"/>
      <c r="AM100" s="701"/>
      <c r="AN100" s="701"/>
      <c r="AO100" s="701"/>
      <c r="AP100" s="701"/>
      <c r="AQ100" s="701"/>
      <c r="AR100" s="701"/>
      <c r="AS100" s="701"/>
      <c r="AT100" s="701"/>
      <c r="AU100" s="701"/>
      <c r="AV100" s="701"/>
      <c r="AW100" s="701"/>
      <c r="AX100" s="701"/>
      <c r="AY100" s="701"/>
      <c r="AZ100" s="701"/>
      <c r="BA100" s="701"/>
      <c r="BB100" s="701"/>
      <c r="BC100" s="701"/>
      <c r="BD100" s="701"/>
      <c r="BE100" s="701"/>
      <c r="BF100" s="701"/>
      <c r="BG100" s="701"/>
      <c r="BH100" s="701"/>
      <c r="BI100" s="701"/>
      <c r="BJ100" s="701"/>
      <c r="BK100" s="701"/>
      <c r="BL100" s="701"/>
      <c r="BM100" s="701"/>
      <c r="BN100" s="701"/>
      <c r="BO100" s="701"/>
      <c r="BP100" s="701"/>
      <c r="BQ100" s="701"/>
      <c r="BR100" s="701"/>
      <c r="BS100" s="701"/>
      <c r="BT100" s="701"/>
      <c r="BU100" s="701"/>
      <c r="BV100" s="701"/>
      <c r="BW100" s="701"/>
      <c r="BX100" s="701"/>
      <c r="BY100" s="701"/>
      <c r="BZ100" s="701"/>
      <c r="CA100" s="701"/>
      <c r="CB100" s="701"/>
      <c r="CC100" s="701"/>
      <c r="CD100" s="701"/>
      <c r="CE100" s="701"/>
      <c r="CF100" s="701"/>
      <c r="CG100" s="701"/>
      <c r="CH100" s="701"/>
      <c r="CI100" s="701"/>
      <c r="CJ100" s="701"/>
      <c r="CK100" s="701"/>
      <c r="CL100" s="701"/>
      <c r="CM100" s="701"/>
      <c r="CN100" s="701"/>
      <c r="CO100" s="701"/>
      <c r="CP100" s="701"/>
      <c r="CQ100" s="701"/>
      <c r="CR100" s="701"/>
      <c r="CS100" s="701"/>
      <c r="CT100" s="701"/>
      <c r="CU100" s="701"/>
      <c r="CV100" s="701"/>
      <c r="CW100" s="701"/>
      <c r="CX100" s="701"/>
      <c r="CY100" s="701"/>
      <c r="CZ100" s="701"/>
      <c r="DA100" s="701"/>
      <c r="DB100" s="701"/>
      <c r="DC100" s="701"/>
      <c r="DD100" s="701"/>
      <c r="DE100" s="701"/>
      <c r="DF100" s="701"/>
      <c r="DG100" s="701"/>
      <c r="DH100" s="701"/>
      <c r="DI100" s="701"/>
      <c r="DJ100" s="701"/>
      <c r="DK100" s="701"/>
      <c r="DL100" s="701"/>
      <c r="DM100" s="701"/>
      <c r="DN100" s="701"/>
      <c r="DO100" s="701"/>
      <c r="DP100" s="701"/>
      <c r="DQ100" s="701"/>
      <c r="DR100" s="701"/>
      <c r="DS100" s="701"/>
      <c r="DT100" s="701"/>
      <c r="DU100" s="701"/>
      <c r="DV100" s="701"/>
      <c r="DW100" s="701"/>
      <c r="DX100" s="701"/>
      <c r="DY100" s="701"/>
      <c r="DZ100" s="701"/>
      <c r="EA100" s="701"/>
      <c r="EB100" s="701"/>
      <c r="EC100" s="701"/>
      <c r="ED100" s="701"/>
      <c r="EE100" s="701"/>
      <c r="EF100" s="701"/>
      <c r="EG100" s="701"/>
      <c r="EH100" s="701"/>
      <c r="EI100" s="701"/>
      <c r="EJ100" s="701"/>
      <c r="EK100" s="701"/>
      <c r="EL100" s="701"/>
      <c r="EM100" s="701"/>
      <c r="EN100" s="701"/>
      <c r="EO100" s="701"/>
      <c r="EP100" s="701"/>
      <c r="EQ100" s="701"/>
      <c r="ER100" s="701"/>
      <c r="ES100" s="701"/>
      <c r="ET100" s="701"/>
      <c r="EU100" s="701"/>
      <c r="EV100" s="701"/>
      <c r="EW100" s="701"/>
      <c r="EX100" s="701"/>
      <c r="EY100" s="701"/>
      <c r="EZ100" s="701"/>
      <c r="FA100" s="701"/>
      <c r="FB100" s="701"/>
      <c r="FC100" s="701"/>
      <c r="FD100" s="701"/>
      <c r="FE100" s="701"/>
      <c r="FF100" s="701"/>
      <c r="FG100" s="701"/>
      <c r="FH100" s="701"/>
      <c r="FI100" s="701"/>
      <c r="FJ100" s="701"/>
      <c r="FK100" s="701"/>
      <c r="FL100" s="701"/>
      <c r="FM100" s="701"/>
      <c r="FN100" s="701"/>
      <c r="FO100" s="701"/>
      <c r="FP100" s="701"/>
      <c r="FQ100" s="701"/>
      <c r="FR100" s="701"/>
      <c r="FS100" s="701"/>
      <c r="FT100" s="701"/>
      <c r="FU100" s="701"/>
      <c r="FV100" s="701"/>
      <c r="FW100" s="701"/>
      <c r="FX100" s="701"/>
      <c r="FY100" s="701"/>
      <c r="FZ100" s="701"/>
      <c r="GA100" s="701"/>
      <c r="GB100" s="701"/>
      <c r="GC100" s="701"/>
      <c r="GD100" s="701"/>
      <c r="GE100" s="701"/>
    </row>
    <row r="101" spans="1:187" s="92" customFormat="1" x14ac:dyDescent="0.6">
      <c r="A101" s="379" t="s">
        <v>341</v>
      </c>
      <c r="B101" s="353"/>
      <c r="C101" s="353"/>
      <c r="D101" s="353"/>
      <c r="E101" s="338"/>
      <c r="F101" s="338"/>
      <c r="G101" s="338"/>
      <c r="H101" s="338"/>
      <c r="I101" s="338"/>
      <c r="J101" s="338"/>
      <c r="K101" s="338"/>
      <c r="L101" s="338"/>
      <c r="M101" s="338"/>
      <c r="N101" s="338"/>
      <c r="O101" s="339"/>
      <c r="P101" s="339"/>
      <c r="Q101" s="339">
        <v>430151.84</v>
      </c>
      <c r="R101" s="339"/>
      <c r="S101" s="339">
        <v>4595691.1100000003</v>
      </c>
      <c r="T101" s="339"/>
      <c r="U101" s="339">
        <v>0</v>
      </c>
      <c r="V101" s="339"/>
      <c r="W101" s="339">
        <v>250901.48</v>
      </c>
      <c r="X101" s="339">
        <v>4595691.1100000003</v>
      </c>
      <c r="Y101" s="339">
        <v>0</v>
      </c>
      <c r="Z101" s="339"/>
      <c r="AA101" s="339">
        <v>0</v>
      </c>
      <c r="AB101" s="339">
        <v>0</v>
      </c>
      <c r="AC101" s="338">
        <f t="shared" si="1"/>
        <v>681053.3200000003</v>
      </c>
      <c r="AD101" s="344"/>
      <c r="AE101" s="345"/>
      <c r="AF101" s="381"/>
      <c r="AG101" s="381"/>
      <c r="AH101" s="701"/>
      <c r="AI101" s="701"/>
      <c r="AJ101" s="701"/>
      <c r="AK101" s="701"/>
      <c r="AL101" s="701"/>
      <c r="AM101" s="701"/>
      <c r="AN101" s="701"/>
      <c r="AO101" s="701"/>
      <c r="AP101" s="701"/>
      <c r="AQ101" s="701"/>
      <c r="AR101" s="701"/>
      <c r="AS101" s="701"/>
      <c r="AT101" s="701"/>
      <c r="AU101" s="701"/>
      <c r="AV101" s="701"/>
      <c r="AW101" s="701"/>
      <c r="AX101" s="701"/>
      <c r="AY101" s="701"/>
      <c r="AZ101" s="701"/>
      <c r="BA101" s="701"/>
      <c r="BB101" s="701"/>
      <c r="BC101" s="701"/>
      <c r="BD101" s="701"/>
      <c r="BE101" s="701"/>
      <c r="BF101" s="701"/>
      <c r="BG101" s="701"/>
      <c r="BH101" s="701"/>
      <c r="BI101" s="701"/>
      <c r="BJ101" s="701"/>
      <c r="BK101" s="701"/>
      <c r="BL101" s="701"/>
      <c r="BM101" s="701"/>
      <c r="BN101" s="701"/>
      <c r="BO101" s="701"/>
      <c r="BP101" s="701"/>
      <c r="BQ101" s="701"/>
      <c r="BR101" s="701"/>
      <c r="BS101" s="701"/>
      <c r="BT101" s="701"/>
      <c r="BU101" s="701"/>
      <c r="BV101" s="701"/>
      <c r="BW101" s="701"/>
      <c r="BX101" s="701"/>
      <c r="BY101" s="701"/>
      <c r="BZ101" s="701"/>
      <c r="CA101" s="701"/>
      <c r="CB101" s="701"/>
      <c r="CC101" s="701"/>
      <c r="CD101" s="701"/>
      <c r="CE101" s="701"/>
      <c r="CF101" s="701"/>
      <c r="CG101" s="701"/>
      <c r="CH101" s="701"/>
      <c r="CI101" s="701"/>
      <c r="CJ101" s="701"/>
      <c r="CK101" s="701"/>
      <c r="CL101" s="701"/>
      <c r="CM101" s="701"/>
      <c r="CN101" s="701"/>
      <c r="CO101" s="701"/>
      <c r="CP101" s="701"/>
      <c r="CQ101" s="701"/>
      <c r="CR101" s="701"/>
      <c r="CS101" s="701"/>
      <c r="CT101" s="701"/>
      <c r="CU101" s="701"/>
      <c r="CV101" s="701"/>
      <c r="CW101" s="701"/>
      <c r="CX101" s="701"/>
      <c r="CY101" s="701"/>
      <c r="CZ101" s="701"/>
      <c r="DA101" s="701"/>
      <c r="DB101" s="701"/>
      <c r="DC101" s="701"/>
      <c r="DD101" s="701"/>
      <c r="DE101" s="701"/>
      <c r="DF101" s="701"/>
      <c r="DG101" s="701"/>
      <c r="DH101" s="701"/>
      <c r="DI101" s="701"/>
      <c r="DJ101" s="701"/>
      <c r="DK101" s="701"/>
      <c r="DL101" s="701"/>
      <c r="DM101" s="701"/>
      <c r="DN101" s="701"/>
      <c r="DO101" s="701"/>
      <c r="DP101" s="701"/>
      <c r="DQ101" s="701"/>
      <c r="DR101" s="701"/>
      <c r="DS101" s="701"/>
      <c r="DT101" s="701"/>
      <c r="DU101" s="701"/>
      <c r="DV101" s="701"/>
      <c r="DW101" s="701"/>
      <c r="DX101" s="701"/>
      <c r="DY101" s="701"/>
      <c r="DZ101" s="701"/>
      <c r="EA101" s="701"/>
      <c r="EB101" s="701"/>
      <c r="EC101" s="701"/>
      <c r="ED101" s="701"/>
      <c r="EE101" s="701"/>
      <c r="EF101" s="701"/>
      <c r="EG101" s="701"/>
      <c r="EH101" s="701"/>
      <c r="EI101" s="701"/>
      <c r="EJ101" s="701"/>
      <c r="EK101" s="701"/>
      <c r="EL101" s="701"/>
      <c r="EM101" s="701"/>
      <c r="EN101" s="701"/>
      <c r="EO101" s="701"/>
      <c r="EP101" s="701"/>
      <c r="EQ101" s="701"/>
      <c r="ER101" s="701"/>
      <c r="ES101" s="701"/>
      <c r="ET101" s="701"/>
      <c r="EU101" s="701"/>
      <c r="EV101" s="701"/>
      <c r="EW101" s="701"/>
      <c r="EX101" s="701"/>
      <c r="EY101" s="701"/>
      <c r="EZ101" s="701"/>
      <c r="FA101" s="701"/>
      <c r="FB101" s="701"/>
      <c r="FC101" s="701"/>
      <c r="FD101" s="701"/>
      <c r="FE101" s="701"/>
      <c r="FF101" s="701"/>
      <c r="FG101" s="701"/>
      <c r="FH101" s="701"/>
      <c r="FI101" s="701"/>
      <c r="FJ101" s="701"/>
      <c r="FK101" s="701"/>
      <c r="FL101" s="701"/>
      <c r="FM101" s="701"/>
      <c r="FN101" s="701"/>
      <c r="FO101" s="701"/>
      <c r="FP101" s="701"/>
      <c r="FQ101" s="701"/>
      <c r="FR101" s="701"/>
      <c r="FS101" s="701"/>
      <c r="FT101" s="701"/>
      <c r="FU101" s="701"/>
      <c r="FV101" s="701"/>
      <c r="FW101" s="701"/>
      <c r="FX101" s="701"/>
      <c r="FY101" s="701"/>
      <c r="FZ101" s="701"/>
      <c r="GA101" s="701"/>
      <c r="GB101" s="701"/>
      <c r="GC101" s="701"/>
      <c r="GD101" s="701"/>
      <c r="GE101" s="701"/>
    </row>
    <row r="102" spans="1:187" s="92" customFormat="1" x14ac:dyDescent="0.6">
      <c r="A102" s="369" t="s">
        <v>342</v>
      </c>
      <c r="B102" s="353"/>
      <c r="C102" s="353"/>
      <c r="D102" s="353"/>
      <c r="E102" s="338"/>
      <c r="F102" s="338"/>
      <c r="G102" s="338"/>
      <c r="H102" s="338"/>
      <c r="I102" s="338"/>
      <c r="J102" s="338"/>
      <c r="K102" s="338"/>
      <c r="L102" s="338"/>
      <c r="M102" s="338"/>
      <c r="N102" s="338"/>
      <c r="O102" s="338">
        <v>5842.51</v>
      </c>
      <c r="P102" s="338"/>
      <c r="Q102" s="338">
        <v>0</v>
      </c>
      <c r="R102" s="338"/>
      <c r="S102" s="338">
        <v>0</v>
      </c>
      <c r="T102" s="338"/>
      <c r="U102" s="338">
        <v>0</v>
      </c>
      <c r="V102" s="338"/>
      <c r="W102" s="338">
        <v>0</v>
      </c>
      <c r="X102" s="338"/>
      <c r="Y102" s="338">
        <v>0</v>
      </c>
      <c r="Z102" s="338"/>
      <c r="AA102" s="338">
        <v>0</v>
      </c>
      <c r="AB102" s="338">
        <v>0</v>
      </c>
      <c r="AC102" s="338">
        <f t="shared" si="1"/>
        <v>5842.51</v>
      </c>
      <c r="AD102" s="344"/>
      <c r="AE102" s="345"/>
      <c r="AF102" s="381"/>
      <c r="AG102" s="381"/>
      <c r="AH102" s="701"/>
      <c r="AI102" s="701"/>
      <c r="AJ102" s="701"/>
      <c r="AK102" s="701"/>
      <c r="AL102" s="701"/>
      <c r="AM102" s="701"/>
      <c r="AN102" s="701"/>
      <c r="AO102" s="701"/>
      <c r="AP102" s="701"/>
      <c r="AQ102" s="701"/>
      <c r="AR102" s="701"/>
      <c r="AS102" s="701"/>
      <c r="AT102" s="701"/>
      <c r="AU102" s="701"/>
      <c r="AV102" s="701"/>
      <c r="AW102" s="701"/>
      <c r="AX102" s="701"/>
      <c r="AY102" s="701"/>
      <c r="AZ102" s="701"/>
      <c r="BA102" s="701"/>
      <c r="BB102" s="701"/>
      <c r="BC102" s="701"/>
      <c r="BD102" s="701"/>
      <c r="BE102" s="701"/>
      <c r="BF102" s="701"/>
      <c r="BG102" s="701"/>
      <c r="BH102" s="701"/>
      <c r="BI102" s="701"/>
      <c r="BJ102" s="701"/>
      <c r="BK102" s="701"/>
      <c r="BL102" s="701"/>
      <c r="BM102" s="701"/>
      <c r="BN102" s="701"/>
      <c r="BO102" s="701"/>
      <c r="BP102" s="701"/>
      <c r="BQ102" s="701"/>
      <c r="BR102" s="701"/>
      <c r="BS102" s="701"/>
      <c r="BT102" s="701"/>
      <c r="BU102" s="701"/>
      <c r="BV102" s="701"/>
      <c r="BW102" s="701"/>
      <c r="BX102" s="701"/>
      <c r="BY102" s="701"/>
      <c r="BZ102" s="701"/>
      <c r="CA102" s="701"/>
      <c r="CB102" s="701"/>
      <c r="CC102" s="701"/>
      <c r="CD102" s="701"/>
      <c r="CE102" s="701"/>
      <c r="CF102" s="701"/>
      <c r="CG102" s="701"/>
      <c r="CH102" s="701"/>
      <c r="CI102" s="701"/>
      <c r="CJ102" s="701"/>
      <c r="CK102" s="701"/>
      <c r="CL102" s="701"/>
      <c r="CM102" s="701"/>
      <c r="CN102" s="701"/>
      <c r="CO102" s="701"/>
      <c r="CP102" s="701"/>
      <c r="CQ102" s="701"/>
      <c r="CR102" s="701"/>
      <c r="CS102" s="701"/>
      <c r="CT102" s="701"/>
      <c r="CU102" s="701"/>
      <c r="CV102" s="701"/>
      <c r="CW102" s="701"/>
      <c r="CX102" s="701"/>
      <c r="CY102" s="701"/>
      <c r="CZ102" s="701"/>
      <c r="DA102" s="701"/>
      <c r="DB102" s="701"/>
      <c r="DC102" s="701"/>
      <c r="DD102" s="701"/>
      <c r="DE102" s="701"/>
      <c r="DF102" s="701"/>
      <c r="DG102" s="701"/>
      <c r="DH102" s="701"/>
      <c r="DI102" s="701"/>
      <c r="DJ102" s="701"/>
      <c r="DK102" s="701"/>
      <c r="DL102" s="701"/>
      <c r="DM102" s="701"/>
      <c r="DN102" s="701"/>
      <c r="DO102" s="701"/>
      <c r="DP102" s="701"/>
      <c r="DQ102" s="701"/>
      <c r="DR102" s="701"/>
      <c r="DS102" s="701"/>
      <c r="DT102" s="701"/>
      <c r="DU102" s="701"/>
      <c r="DV102" s="701"/>
      <c r="DW102" s="701"/>
      <c r="DX102" s="701"/>
      <c r="DY102" s="701"/>
      <c r="DZ102" s="701"/>
      <c r="EA102" s="701"/>
      <c r="EB102" s="701"/>
      <c r="EC102" s="701"/>
      <c r="ED102" s="701"/>
      <c r="EE102" s="701"/>
      <c r="EF102" s="701"/>
      <c r="EG102" s="701"/>
      <c r="EH102" s="701"/>
      <c r="EI102" s="701"/>
      <c r="EJ102" s="701"/>
      <c r="EK102" s="701"/>
      <c r="EL102" s="701"/>
      <c r="EM102" s="701"/>
      <c r="EN102" s="701"/>
      <c r="EO102" s="701"/>
      <c r="EP102" s="701"/>
      <c r="EQ102" s="701"/>
      <c r="ER102" s="701"/>
      <c r="ES102" s="701"/>
      <c r="ET102" s="701"/>
      <c r="EU102" s="701"/>
      <c r="EV102" s="701"/>
      <c r="EW102" s="701"/>
      <c r="EX102" s="701"/>
      <c r="EY102" s="701"/>
      <c r="EZ102" s="701"/>
      <c r="FA102" s="701"/>
      <c r="FB102" s="701"/>
      <c r="FC102" s="701"/>
      <c r="FD102" s="701"/>
      <c r="FE102" s="701"/>
      <c r="FF102" s="701"/>
      <c r="FG102" s="701"/>
      <c r="FH102" s="701"/>
      <c r="FI102" s="701"/>
      <c r="FJ102" s="701"/>
      <c r="FK102" s="701"/>
      <c r="FL102" s="701"/>
      <c r="FM102" s="701"/>
      <c r="FN102" s="701"/>
      <c r="FO102" s="701"/>
      <c r="FP102" s="701"/>
      <c r="FQ102" s="701"/>
      <c r="FR102" s="701"/>
      <c r="FS102" s="701"/>
      <c r="FT102" s="701"/>
      <c r="FU102" s="701"/>
      <c r="FV102" s="701"/>
      <c r="FW102" s="701"/>
      <c r="FX102" s="701"/>
      <c r="FY102" s="701"/>
      <c r="FZ102" s="701"/>
      <c r="GA102" s="701"/>
      <c r="GB102" s="701"/>
      <c r="GC102" s="701"/>
      <c r="GD102" s="701"/>
      <c r="GE102" s="701"/>
    </row>
    <row r="103" spans="1:187" s="92" customFormat="1" ht="26.5" thickBot="1" x14ac:dyDescent="0.65">
      <c r="A103" s="379" t="s">
        <v>343</v>
      </c>
      <c r="B103" s="370"/>
      <c r="C103" s="370"/>
      <c r="D103" s="370"/>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v>27437</v>
      </c>
      <c r="AB103" s="339">
        <v>14870.12</v>
      </c>
      <c r="AC103" s="339">
        <f t="shared" si="1"/>
        <v>42307.12</v>
      </c>
      <c r="AD103" s="344"/>
      <c r="AE103" s="345"/>
      <c r="AF103" s="381"/>
      <c r="AG103" s="381"/>
      <c r="AH103" s="701"/>
      <c r="AI103" s="701"/>
      <c r="AJ103" s="701"/>
      <c r="AK103" s="701"/>
      <c r="AL103" s="701"/>
      <c r="AM103" s="701"/>
      <c r="AN103" s="701"/>
      <c r="AO103" s="701"/>
      <c r="AP103" s="701"/>
      <c r="AQ103" s="701"/>
      <c r="AR103" s="701"/>
      <c r="AS103" s="701"/>
      <c r="AT103" s="701"/>
      <c r="AU103" s="701"/>
      <c r="AV103" s="701"/>
      <c r="AW103" s="701"/>
      <c r="AX103" s="701"/>
      <c r="AY103" s="701"/>
      <c r="AZ103" s="701"/>
      <c r="BA103" s="701"/>
      <c r="BB103" s="701"/>
      <c r="BC103" s="701"/>
      <c r="BD103" s="701"/>
      <c r="BE103" s="701"/>
      <c r="BF103" s="701"/>
      <c r="BG103" s="701"/>
      <c r="BH103" s="701"/>
      <c r="BI103" s="701"/>
      <c r="BJ103" s="701"/>
      <c r="BK103" s="701"/>
      <c r="BL103" s="701"/>
      <c r="BM103" s="701"/>
      <c r="BN103" s="701"/>
      <c r="BO103" s="701"/>
      <c r="BP103" s="701"/>
      <c r="BQ103" s="701"/>
      <c r="BR103" s="701"/>
      <c r="BS103" s="701"/>
      <c r="BT103" s="701"/>
      <c r="BU103" s="701"/>
      <c r="BV103" s="701"/>
      <c r="BW103" s="701"/>
      <c r="BX103" s="701"/>
      <c r="BY103" s="701"/>
      <c r="BZ103" s="701"/>
      <c r="CA103" s="701"/>
      <c r="CB103" s="701"/>
      <c r="CC103" s="701"/>
      <c r="CD103" s="701"/>
      <c r="CE103" s="701"/>
      <c r="CF103" s="701"/>
      <c r="CG103" s="701"/>
      <c r="CH103" s="701"/>
      <c r="CI103" s="701"/>
      <c r="CJ103" s="701"/>
      <c r="CK103" s="701"/>
      <c r="CL103" s="701"/>
      <c r="CM103" s="701"/>
      <c r="CN103" s="701"/>
      <c r="CO103" s="701"/>
      <c r="CP103" s="701"/>
      <c r="CQ103" s="701"/>
      <c r="CR103" s="701"/>
      <c r="CS103" s="701"/>
      <c r="CT103" s="701"/>
      <c r="CU103" s="701"/>
      <c r="CV103" s="701"/>
      <c r="CW103" s="701"/>
      <c r="CX103" s="701"/>
      <c r="CY103" s="701"/>
      <c r="CZ103" s="701"/>
      <c r="DA103" s="701"/>
      <c r="DB103" s="701"/>
      <c r="DC103" s="701"/>
      <c r="DD103" s="701"/>
      <c r="DE103" s="701"/>
      <c r="DF103" s="701"/>
      <c r="DG103" s="701"/>
      <c r="DH103" s="701"/>
      <c r="DI103" s="701"/>
      <c r="DJ103" s="701"/>
      <c r="DK103" s="701"/>
      <c r="DL103" s="701"/>
      <c r="DM103" s="701"/>
      <c r="DN103" s="701"/>
      <c r="DO103" s="701"/>
      <c r="DP103" s="701"/>
      <c r="DQ103" s="701"/>
      <c r="DR103" s="701"/>
      <c r="DS103" s="701"/>
      <c r="DT103" s="701"/>
      <c r="DU103" s="701"/>
      <c r="DV103" s="701"/>
      <c r="DW103" s="701"/>
      <c r="DX103" s="701"/>
      <c r="DY103" s="701"/>
      <c r="DZ103" s="701"/>
      <c r="EA103" s="701"/>
      <c r="EB103" s="701"/>
      <c r="EC103" s="701"/>
      <c r="ED103" s="701"/>
      <c r="EE103" s="701"/>
      <c r="EF103" s="701"/>
      <c r="EG103" s="701"/>
      <c r="EH103" s="701"/>
      <c r="EI103" s="701"/>
      <c r="EJ103" s="701"/>
      <c r="EK103" s="701"/>
      <c r="EL103" s="701"/>
      <c r="EM103" s="701"/>
      <c r="EN103" s="701"/>
      <c r="EO103" s="701"/>
      <c r="EP103" s="701"/>
      <c r="EQ103" s="701"/>
      <c r="ER103" s="701"/>
      <c r="ES103" s="701"/>
      <c r="ET103" s="701"/>
      <c r="EU103" s="701"/>
      <c r="EV103" s="701"/>
      <c r="EW103" s="701"/>
      <c r="EX103" s="701"/>
      <c r="EY103" s="701"/>
      <c r="EZ103" s="701"/>
      <c r="FA103" s="701"/>
      <c r="FB103" s="701"/>
      <c r="FC103" s="701"/>
      <c r="FD103" s="701"/>
      <c r="FE103" s="701"/>
      <c r="FF103" s="701"/>
      <c r="FG103" s="701"/>
      <c r="FH103" s="701"/>
      <c r="FI103" s="701"/>
      <c r="FJ103" s="701"/>
      <c r="FK103" s="701"/>
      <c r="FL103" s="701"/>
      <c r="FM103" s="701"/>
      <c r="FN103" s="701"/>
      <c r="FO103" s="701"/>
      <c r="FP103" s="701"/>
      <c r="FQ103" s="701"/>
      <c r="FR103" s="701"/>
      <c r="FS103" s="701"/>
      <c r="FT103" s="701"/>
      <c r="FU103" s="701"/>
      <c r="FV103" s="701"/>
      <c r="FW103" s="701"/>
      <c r="FX103" s="701"/>
      <c r="FY103" s="701"/>
      <c r="FZ103" s="701"/>
      <c r="GA103" s="701"/>
      <c r="GB103" s="701"/>
      <c r="GC103" s="701"/>
      <c r="GD103" s="701"/>
      <c r="GE103" s="701"/>
    </row>
    <row r="104" spans="1:187" ht="26.5" thickBot="1" x14ac:dyDescent="0.65">
      <c r="A104" s="384" t="s">
        <v>6</v>
      </c>
      <c r="B104" s="385">
        <f t="shared" ref="B104:L104" si="2">SUM(B6:B98)</f>
        <v>314164867.20500022</v>
      </c>
      <c r="C104" s="385">
        <f t="shared" si="2"/>
        <v>0</v>
      </c>
      <c r="D104" s="385">
        <f t="shared" si="2"/>
        <v>30985102.889999997</v>
      </c>
      <c r="E104" s="386">
        <f t="shared" si="2"/>
        <v>47763105.090000026</v>
      </c>
      <c r="F104" s="386">
        <f t="shared" si="2"/>
        <v>45548308.54999999</v>
      </c>
      <c r="G104" s="386">
        <f t="shared" si="2"/>
        <v>49300388.559999995</v>
      </c>
      <c r="H104" s="386">
        <f t="shared" si="2"/>
        <v>55883174.140000001</v>
      </c>
      <c r="I104" s="386">
        <f t="shared" si="2"/>
        <v>-20771826.929999996</v>
      </c>
      <c r="J104" s="386">
        <f t="shared" si="2"/>
        <v>32214979.060000002</v>
      </c>
      <c r="K104" s="386">
        <f t="shared" si="2"/>
        <v>42542186.730000004</v>
      </c>
      <c r="L104" s="386">
        <f t="shared" si="2"/>
        <v>20245146.689999998</v>
      </c>
      <c r="M104" s="386">
        <f>SUM(M6:M98)</f>
        <v>59422496.139999986</v>
      </c>
      <c r="N104" s="386">
        <f>SUM(N6:N98)</f>
        <v>33095025.249999996</v>
      </c>
      <c r="O104" s="386">
        <f>SUM(O6:O102)</f>
        <v>46346473.820000015</v>
      </c>
      <c r="P104" s="386">
        <f>SUM(P6:P98)</f>
        <v>56262332.629999995</v>
      </c>
      <c r="Q104" s="386">
        <f t="shared" ref="Q104:W104" si="3">SUM(Q6:Q102)</f>
        <v>107383799.74000004</v>
      </c>
      <c r="R104" s="386">
        <f t="shared" si="3"/>
        <v>40977613.540000007</v>
      </c>
      <c r="S104" s="386">
        <f t="shared" si="3"/>
        <v>86554887.320000038</v>
      </c>
      <c r="T104" s="386">
        <f t="shared" si="3"/>
        <v>52857177.200000003</v>
      </c>
      <c r="U104" s="386">
        <f t="shared" si="3"/>
        <v>58594494.610000022</v>
      </c>
      <c r="V104" s="386">
        <f t="shared" si="3"/>
        <v>52898158.25999999</v>
      </c>
      <c r="W104" s="386">
        <f t="shared" si="3"/>
        <v>52817747.559999973</v>
      </c>
      <c r="X104" s="386">
        <f>SUM(X6:X102)</f>
        <v>103461637.42999999</v>
      </c>
      <c r="Y104" s="386">
        <f>SUM(Y6:Y102)</f>
        <v>56055998.24999997</v>
      </c>
      <c r="Z104" s="386">
        <f>SUM(Z6:Z103)</f>
        <v>91640653.370000005</v>
      </c>
      <c r="AA104" s="387">
        <f>SUM(AA6:AA103)</f>
        <v>40021056.349999994</v>
      </c>
      <c r="AB104" s="388">
        <f>SUM(AB6:AB103)</f>
        <v>18127862.63000001</v>
      </c>
      <c r="AC104" s="340">
        <f>SUM(AC6:AC98)</f>
        <v>339989951.97500002</v>
      </c>
      <c r="AF104" s="381"/>
      <c r="AG104" s="381"/>
      <c r="AH104" s="701"/>
      <c r="AI104" s="701"/>
      <c r="AJ104" s="701"/>
      <c r="AK104" s="701"/>
      <c r="AL104" s="701"/>
      <c r="AM104" s="701"/>
      <c r="AN104" s="701"/>
      <c r="AO104" s="701"/>
      <c r="AP104" s="701"/>
      <c r="AQ104" s="701"/>
      <c r="AR104" s="701"/>
      <c r="AS104" s="701"/>
      <c r="AT104" s="701"/>
      <c r="AU104" s="701"/>
      <c r="AV104" s="701"/>
      <c r="AW104" s="701"/>
      <c r="AX104" s="701"/>
      <c r="AY104" s="701"/>
      <c r="AZ104" s="701"/>
      <c r="BA104" s="701"/>
      <c r="BB104" s="701"/>
      <c r="BC104" s="701"/>
      <c r="BD104" s="701"/>
      <c r="BE104" s="701"/>
      <c r="BF104" s="701"/>
      <c r="BG104" s="701"/>
      <c r="BH104" s="701"/>
      <c r="BI104" s="701"/>
      <c r="BJ104" s="701"/>
      <c r="BK104" s="701"/>
      <c r="BL104" s="701"/>
      <c r="BM104" s="701"/>
      <c r="BN104" s="701"/>
      <c r="BO104" s="701"/>
      <c r="BP104" s="701"/>
      <c r="BQ104" s="701"/>
      <c r="BR104" s="701"/>
      <c r="BS104" s="701"/>
      <c r="BT104" s="701"/>
      <c r="BU104" s="701"/>
      <c r="BV104" s="701"/>
      <c r="BW104" s="701"/>
      <c r="BX104" s="701"/>
      <c r="BY104" s="701"/>
      <c r="BZ104" s="701"/>
      <c r="CA104" s="701"/>
      <c r="CB104" s="701"/>
      <c r="CC104" s="701"/>
      <c r="CD104" s="701"/>
      <c r="CE104" s="701"/>
      <c r="CF104" s="701"/>
      <c r="CG104" s="701"/>
      <c r="CH104" s="701"/>
      <c r="CI104" s="701"/>
      <c r="CJ104" s="701"/>
      <c r="CK104" s="701"/>
      <c r="CL104" s="701"/>
      <c r="CM104" s="701"/>
      <c r="CN104" s="701"/>
      <c r="CO104" s="701"/>
      <c r="CP104" s="701"/>
      <c r="CQ104" s="701"/>
      <c r="CR104" s="701"/>
      <c r="CS104" s="701"/>
      <c r="CT104" s="701"/>
      <c r="CU104" s="701"/>
      <c r="CV104" s="701"/>
      <c r="CW104" s="701"/>
      <c r="CX104" s="701"/>
      <c r="CY104" s="701"/>
      <c r="CZ104" s="701"/>
      <c r="DA104" s="701"/>
      <c r="DB104" s="701"/>
      <c r="DC104" s="701"/>
      <c r="DD104" s="701"/>
      <c r="DE104" s="701"/>
      <c r="DF104" s="701"/>
      <c r="DG104" s="701"/>
      <c r="DH104" s="701"/>
      <c r="DI104" s="701"/>
      <c r="DJ104" s="701"/>
      <c r="DK104" s="701"/>
      <c r="DL104" s="701"/>
      <c r="DM104" s="701"/>
      <c r="DN104" s="701"/>
      <c r="DO104" s="701"/>
      <c r="DP104" s="701"/>
      <c r="DQ104" s="701"/>
      <c r="DR104" s="701"/>
      <c r="DS104" s="701"/>
      <c r="DT104" s="701"/>
      <c r="DU104" s="701"/>
      <c r="DV104" s="701"/>
      <c r="DW104" s="701"/>
      <c r="DX104" s="701"/>
      <c r="DY104" s="701"/>
      <c r="DZ104" s="701"/>
      <c r="EA104" s="701"/>
      <c r="EB104" s="701"/>
      <c r="EC104" s="701"/>
      <c r="ED104" s="701"/>
      <c r="EE104" s="701"/>
      <c r="EF104" s="701"/>
      <c r="EG104" s="701"/>
      <c r="EH104" s="701"/>
      <c r="EI104" s="701"/>
      <c r="EJ104" s="701"/>
      <c r="EK104" s="701"/>
      <c r="EL104" s="701"/>
      <c r="EM104" s="701"/>
      <c r="EN104" s="701"/>
      <c r="EO104" s="701"/>
      <c r="EP104" s="701"/>
      <c r="EQ104" s="701"/>
      <c r="ER104" s="701"/>
      <c r="ES104" s="701"/>
      <c r="ET104" s="701"/>
      <c r="EU104" s="701"/>
      <c r="EV104" s="701"/>
      <c r="EW104" s="701"/>
      <c r="EX104" s="701"/>
      <c r="EY104" s="701"/>
      <c r="EZ104" s="701"/>
      <c r="FA104" s="701"/>
      <c r="FB104" s="701"/>
      <c r="FC104" s="701"/>
      <c r="FD104" s="701"/>
      <c r="FE104" s="701"/>
      <c r="FF104" s="701"/>
      <c r="FG104" s="701"/>
      <c r="FH104" s="701"/>
      <c r="FI104" s="701"/>
      <c r="FJ104" s="701"/>
      <c r="FK104" s="701"/>
      <c r="FL104" s="701"/>
      <c r="FM104" s="701"/>
      <c r="FN104" s="701"/>
      <c r="FO104" s="701"/>
      <c r="FP104" s="701"/>
      <c r="FQ104" s="701"/>
      <c r="FR104" s="701"/>
      <c r="FS104" s="701"/>
      <c r="FT104" s="701"/>
      <c r="FU104" s="701"/>
      <c r="FV104" s="701"/>
      <c r="FW104" s="701"/>
      <c r="FX104" s="701"/>
      <c r="FY104" s="701"/>
      <c r="FZ104" s="701"/>
      <c r="GA104" s="701"/>
      <c r="GB104" s="701"/>
      <c r="GC104" s="701"/>
      <c r="GD104" s="701"/>
      <c r="GE104" s="701"/>
    </row>
    <row r="105" spans="1:187" x14ac:dyDescent="0.6">
      <c r="AF105" s="381"/>
      <c r="AG105" s="381"/>
      <c r="AH105" s="701"/>
      <c r="AI105" s="701"/>
      <c r="AJ105" s="701"/>
      <c r="AK105" s="701"/>
      <c r="AL105" s="701"/>
      <c r="AM105" s="701"/>
      <c r="AN105" s="701"/>
      <c r="AO105" s="701"/>
      <c r="AP105" s="701"/>
      <c r="AQ105" s="701"/>
      <c r="AR105" s="701"/>
      <c r="AS105" s="701"/>
      <c r="AT105" s="701"/>
      <c r="AU105" s="701"/>
      <c r="AV105" s="701"/>
      <c r="AW105" s="701"/>
      <c r="AX105" s="701"/>
      <c r="AY105" s="701"/>
      <c r="AZ105" s="701"/>
      <c r="BA105" s="701"/>
      <c r="BB105" s="701"/>
      <c r="BC105" s="701"/>
      <c r="BD105" s="701"/>
      <c r="BE105" s="701"/>
      <c r="BF105" s="701"/>
      <c r="BG105" s="701"/>
      <c r="BH105" s="701"/>
      <c r="BI105" s="701"/>
      <c r="BJ105" s="701"/>
      <c r="BK105" s="701"/>
      <c r="BL105" s="701"/>
      <c r="BM105" s="701"/>
      <c r="BN105" s="701"/>
      <c r="BO105" s="701"/>
      <c r="BP105" s="701"/>
      <c r="BQ105" s="701"/>
      <c r="BR105" s="701"/>
      <c r="BS105" s="701"/>
      <c r="BT105" s="701"/>
      <c r="BU105" s="701"/>
      <c r="BV105" s="701"/>
      <c r="BW105" s="701"/>
      <c r="BX105" s="701"/>
      <c r="BY105" s="701"/>
      <c r="BZ105" s="701"/>
      <c r="CA105" s="701"/>
      <c r="CB105" s="701"/>
      <c r="CC105" s="701"/>
      <c r="CD105" s="701"/>
      <c r="CE105" s="701"/>
      <c r="CF105" s="701"/>
      <c r="CG105" s="701"/>
      <c r="CH105" s="701"/>
      <c r="CI105" s="701"/>
      <c r="CJ105" s="701"/>
      <c r="CK105" s="701"/>
      <c r="CL105" s="701"/>
      <c r="CM105" s="701"/>
      <c r="CN105" s="701"/>
      <c r="CO105" s="701"/>
      <c r="CP105" s="701"/>
      <c r="CQ105" s="701"/>
      <c r="CR105" s="701"/>
      <c r="CS105" s="701"/>
      <c r="CT105" s="701"/>
      <c r="CU105" s="701"/>
      <c r="CV105" s="701"/>
      <c r="CW105" s="701"/>
      <c r="CX105" s="701"/>
      <c r="CY105" s="701"/>
      <c r="CZ105" s="701"/>
      <c r="DA105" s="701"/>
      <c r="DB105" s="701"/>
      <c r="DC105" s="701"/>
      <c r="DD105" s="701"/>
      <c r="DE105" s="701"/>
      <c r="DF105" s="701"/>
      <c r="DG105" s="701"/>
      <c r="DH105" s="701"/>
      <c r="DI105" s="701"/>
      <c r="DJ105" s="701"/>
      <c r="DK105" s="701"/>
      <c r="DL105" s="701"/>
      <c r="DM105" s="701"/>
      <c r="DN105" s="701"/>
      <c r="DO105" s="701"/>
      <c r="DP105" s="701"/>
      <c r="DQ105" s="701"/>
      <c r="DR105" s="701"/>
      <c r="DS105" s="701"/>
      <c r="DT105" s="701"/>
      <c r="DU105" s="701"/>
      <c r="DV105" s="701"/>
      <c r="DW105" s="701"/>
      <c r="DX105" s="701"/>
      <c r="DY105" s="701"/>
      <c r="DZ105" s="701"/>
      <c r="EA105" s="701"/>
      <c r="EB105" s="701"/>
      <c r="EC105" s="701"/>
      <c r="ED105" s="701"/>
      <c r="EE105" s="701"/>
      <c r="EF105" s="701"/>
      <c r="EG105" s="701"/>
      <c r="EH105" s="701"/>
      <c r="EI105" s="701"/>
      <c r="EJ105" s="701"/>
      <c r="EK105" s="701"/>
      <c r="EL105" s="701"/>
      <c r="EM105" s="701"/>
      <c r="EN105" s="701"/>
      <c r="EO105" s="701"/>
      <c r="EP105" s="701"/>
      <c r="EQ105" s="701"/>
      <c r="ER105" s="701"/>
      <c r="ES105" s="701"/>
      <c r="ET105" s="701"/>
      <c r="EU105" s="701"/>
      <c r="EV105" s="701"/>
      <c r="EW105" s="701"/>
      <c r="EX105" s="701"/>
      <c r="EY105" s="701"/>
      <c r="EZ105" s="701"/>
      <c r="FA105" s="701"/>
      <c r="FB105" s="701"/>
      <c r="FC105" s="701"/>
      <c r="FD105" s="701"/>
      <c r="FE105" s="701"/>
      <c r="FF105" s="701"/>
      <c r="FG105" s="701"/>
      <c r="FH105" s="701"/>
      <c r="FI105" s="701"/>
      <c r="FJ105" s="701"/>
      <c r="FK105" s="701"/>
      <c r="FL105" s="701"/>
      <c r="FM105" s="701"/>
      <c r="FN105" s="701"/>
      <c r="FO105" s="701"/>
      <c r="FP105" s="701"/>
      <c r="FQ105" s="701"/>
      <c r="FR105" s="701"/>
      <c r="FS105" s="701"/>
      <c r="FT105" s="701"/>
      <c r="FU105" s="701"/>
      <c r="FV105" s="701"/>
      <c r="FW105" s="701"/>
      <c r="FX105" s="701"/>
      <c r="FY105" s="701"/>
      <c r="FZ105" s="701"/>
      <c r="GA105" s="701"/>
      <c r="GB105" s="701"/>
      <c r="GC105" s="701"/>
      <c r="GD105" s="701"/>
      <c r="GE105" s="701"/>
    </row>
    <row r="106" spans="1:187" x14ac:dyDescent="0.6">
      <c r="A106" s="389" t="s">
        <v>317</v>
      </c>
      <c r="B106" s="342"/>
      <c r="C106" s="342">
        <f>C104-5473369.83</f>
        <v>-5473369.8300000001</v>
      </c>
      <c r="D106" s="342">
        <v>0</v>
      </c>
      <c r="E106" s="334">
        <v>35360.370000000003</v>
      </c>
      <c r="G106" s="334">
        <v>0</v>
      </c>
      <c r="Q106" s="390">
        <v>1542651.81</v>
      </c>
      <c r="S106" s="334">
        <v>1091794.99</v>
      </c>
      <c r="U106" s="334">
        <v>539085.93999999994</v>
      </c>
      <c r="W106" s="334">
        <v>478919.55</v>
      </c>
      <c r="Y106" s="334">
        <v>530559.25</v>
      </c>
      <c r="Z106" s="334">
        <f>Z104-91640653.37</f>
        <v>0</v>
      </c>
      <c r="AB106" s="334">
        <v>380227.31</v>
      </c>
      <c r="AC106" s="341"/>
      <c r="AF106" s="381"/>
      <c r="AG106" s="381"/>
      <c r="AH106" s="701"/>
      <c r="AI106" s="701"/>
      <c r="AJ106" s="701"/>
      <c r="AK106" s="701"/>
      <c r="AL106" s="701"/>
      <c r="AM106" s="701"/>
      <c r="AN106" s="701"/>
      <c r="AO106" s="701"/>
      <c r="AP106" s="701"/>
      <c r="AQ106" s="701"/>
      <c r="AR106" s="701"/>
      <c r="AS106" s="701"/>
      <c r="AT106" s="701"/>
      <c r="AU106" s="701"/>
      <c r="AV106" s="701"/>
      <c r="AW106" s="701"/>
      <c r="AX106" s="701"/>
      <c r="AY106" s="701"/>
      <c r="AZ106" s="701"/>
      <c r="BA106" s="701"/>
      <c r="BB106" s="701"/>
      <c r="BC106" s="701"/>
      <c r="BD106" s="701"/>
      <c r="BE106" s="701"/>
      <c r="BF106" s="701"/>
      <c r="BG106" s="701"/>
      <c r="BH106" s="701"/>
      <c r="BI106" s="701"/>
      <c r="BJ106" s="701"/>
      <c r="BK106" s="701"/>
      <c r="BL106" s="701"/>
      <c r="BM106" s="701"/>
      <c r="BN106" s="701"/>
      <c r="BO106" s="701"/>
      <c r="BP106" s="701"/>
      <c r="BQ106" s="701"/>
      <c r="BR106" s="701"/>
      <c r="BS106" s="701"/>
      <c r="BT106" s="701"/>
      <c r="BU106" s="701"/>
      <c r="BV106" s="701"/>
      <c r="BW106" s="701"/>
      <c r="BX106" s="701"/>
      <c r="BY106" s="701"/>
      <c r="BZ106" s="701"/>
      <c r="CA106" s="701"/>
      <c r="CB106" s="701"/>
      <c r="CC106" s="701"/>
      <c r="CD106" s="701"/>
      <c r="CE106" s="701"/>
      <c r="CF106" s="701"/>
      <c r="CG106" s="701"/>
      <c r="CH106" s="701"/>
      <c r="CI106" s="701"/>
      <c r="CJ106" s="701"/>
      <c r="CK106" s="701"/>
      <c r="CL106" s="701"/>
      <c r="CM106" s="701"/>
      <c r="CN106" s="701"/>
      <c r="CO106" s="701"/>
      <c r="CP106" s="701"/>
      <c r="CQ106" s="701"/>
      <c r="CR106" s="701"/>
      <c r="CS106" s="701"/>
      <c r="CT106" s="701"/>
      <c r="CU106" s="701"/>
      <c r="CV106" s="701"/>
      <c r="CW106" s="701"/>
      <c r="CX106" s="701"/>
      <c r="CY106" s="701"/>
      <c r="CZ106" s="701"/>
      <c r="DA106" s="701"/>
      <c r="DB106" s="701"/>
      <c r="DC106" s="701"/>
      <c r="DD106" s="701"/>
      <c r="DE106" s="701"/>
      <c r="DF106" s="701"/>
      <c r="DG106" s="701"/>
      <c r="DH106" s="701"/>
      <c r="DI106" s="701"/>
      <c r="DJ106" s="701"/>
      <c r="DK106" s="701"/>
      <c r="DL106" s="701"/>
      <c r="DM106" s="701"/>
      <c r="DN106" s="701"/>
      <c r="DO106" s="701"/>
      <c r="DP106" s="701"/>
      <c r="DQ106" s="701"/>
      <c r="DR106" s="701"/>
      <c r="DS106" s="701"/>
      <c r="DT106" s="701"/>
      <c r="DU106" s="701"/>
      <c r="DV106" s="701"/>
      <c r="DW106" s="701"/>
      <c r="DX106" s="701"/>
      <c r="DY106" s="701"/>
      <c r="DZ106" s="701"/>
      <c r="EA106" s="701"/>
      <c r="EB106" s="701"/>
      <c r="EC106" s="701"/>
      <c r="ED106" s="701"/>
      <c r="EE106" s="701"/>
      <c r="EF106" s="701"/>
      <c r="EG106" s="701"/>
      <c r="EH106" s="701"/>
      <c r="EI106" s="701"/>
      <c r="EJ106" s="701"/>
      <c r="EK106" s="701"/>
      <c r="EL106" s="701"/>
      <c r="EM106" s="701"/>
      <c r="EN106" s="701"/>
      <c r="EO106" s="701"/>
      <c r="EP106" s="701"/>
      <c r="EQ106" s="701"/>
      <c r="ER106" s="701"/>
      <c r="ES106" s="701"/>
      <c r="ET106" s="701"/>
      <c r="EU106" s="701"/>
      <c r="EV106" s="701"/>
      <c r="EW106" s="701"/>
      <c r="EX106" s="701"/>
      <c r="EY106" s="701"/>
      <c r="EZ106" s="701"/>
      <c r="FA106" s="701"/>
      <c r="FB106" s="701"/>
      <c r="FC106" s="701"/>
      <c r="FD106" s="701"/>
      <c r="FE106" s="701"/>
      <c r="FF106" s="701"/>
      <c r="FG106" s="701"/>
      <c r="FH106" s="701"/>
      <c r="FI106" s="701"/>
      <c r="FJ106" s="701"/>
      <c r="FK106" s="701"/>
      <c r="FL106" s="701"/>
      <c r="FM106" s="701"/>
      <c r="FN106" s="701"/>
      <c r="FO106" s="701"/>
      <c r="FP106" s="701"/>
      <c r="FQ106" s="701"/>
      <c r="FR106" s="701"/>
      <c r="FS106" s="701"/>
      <c r="FT106" s="701"/>
      <c r="FU106" s="701"/>
      <c r="FV106" s="701"/>
      <c r="FW106" s="701"/>
      <c r="FX106" s="701"/>
      <c r="FY106" s="701"/>
      <c r="FZ106" s="701"/>
      <c r="GA106" s="701"/>
      <c r="GB106" s="701"/>
      <c r="GC106" s="701"/>
      <c r="GD106" s="701"/>
      <c r="GE106" s="701"/>
    </row>
    <row r="107" spans="1:187" x14ac:dyDescent="0.6">
      <c r="A107" s="389" t="s">
        <v>318</v>
      </c>
      <c r="B107" s="391"/>
      <c r="C107" s="391"/>
      <c r="D107" s="391"/>
      <c r="E107" s="392">
        <f>SUM(E104:E106)</f>
        <v>47798465.460000023</v>
      </c>
      <c r="F107" s="392"/>
      <c r="G107" s="392">
        <f>G104+G106</f>
        <v>49300388.559999995</v>
      </c>
      <c r="H107" s="392"/>
      <c r="I107" s="392">
        <f>I104</f>
        <v>-20771826.929999996</v>
      </c>
      <c r="J107" s="392"/>
      <c r="K107" s="392">
        <f>K104</f>
        <v>42542186.730000004</v>
      </c>
      <c r="L107" s="392">
        <v>0</v>
      </c>
      <c r="M107" s="392">
        <f>M104-M106</f>
        <v>59422496.139999986</v>
      </c>
      <c r="N107" s="392"/>
      <c r="O107" s="392">
        <f>O104+O106</f>
        <v>46346473.820000015</v>
      </c>
      <c r="P107" s="392">
        <f>O104-46346473.82</f>
        <v>0</v>
      </c>
      <c r="Q107" s="392">
        <f>Q104+Q106</f>
        <v>108926451.55000004</v>
      </c>
      <c r="R107" s="392"/>
      <c r="S107" s="392">
        <f>S104+S106</f>
        <v>87646682.310000032</v>
      </c>
      <c r="T107" s="392"/>
      <c r="U107" s="392">
        <f>U104+U106</f>
        <v>59133580.550000019</v>
      </c>
      <c r="V107" s="392">
        <f>U107-59133580.55</f>
        <v>0</v>
      </c>
      <c r="W107" s="392">
        <f>W104+W106</f>
        <v>53296667.10999997</v>
      </c>
      <c r="X107" s="392"/>
      <c r="Y107" s="392">
        <f>Y104+Y106</f>
        <v>56586557.49999997</v>
      </c>
      <c r="Z107" s="392"/>
      <c r="AA107" s="392">
        <f>AA106+AA104</f>
        <v>40021056.349999994</v>
      </c>
      <c r="AB107" s="392">
        <f>AB104+AB106</f>
        <v>18508089.940000009</v>
      </c>
      <c r="AC107" s="342"/>
      <c r="AF107" s="381"/>
      <c r="AG107" s="381"/>
      <c r="AH107" s="701"/>
      <c r="AI107" s="701"/>
      <c r="AJ107" s="701"/>
      <c r="AK107" s="701"/>
      <c r="AL107" s="701"/>
      <c r="AM107" s="701"/>
      <c r="AN107" s="701"/>
      <c r="AO107" s="701"/>
      <c r="AP107" s="701"/>
      <c r="AQ107" s="701"/>
      <c r="AR107" s="701"/>
      <c r="AS107" s="701"/>
      <c r="AT107" s="701"/>
      <c r="AU107" s="701"/>
      <c r="AV107" s="701"/>
      <c r="AW107" s="701"/>
      <c r="AX107" s="701"/>
      <c r="AY107" s="701"/>
      <c r="AZ107" s="701"/>
      <c r="BA107" s="701"/>
      <c r="BB107" s="701"/>
      <c r="BC107" s="701"/>
      <c r="BD107" s="701"/>
      <c r="BE107" s="701"/>
      <c r="BF107" s="701"/>
      <c r="BG107" s="701"/>
      <c r="BH107" s="701"/>
      <c r="BI107" s="701"/>
      <c r="BJ107" s="701"/>
      <c r="BK107" s="701"/>
      <c r="BL107" s="701"/>
      <c r="BM107" s="701"/>
      <c r="BN107" s="701"/>
      <c r="BO107" s="701"/>
      <c r="BP107" s="701"/>
      <c r="BQ107" s="701"/>
      <c r="BR107" s="701"/>
      <c r="BS107" s="701"/>
      <c r="BT107" s="701"/>
      <c r="BU107" s="701"/>
      <c r="BV107" s="701"/>
      <c r="BW107" s="701"/>
      <c r="BX107" s="701"/>
      <c r="BY107" s="701"/>
      <c r="BZ107" s="701"/>
      <c r="CA107" s="701"/>
      <c r="CB107" s="701"/>
      <c r="CC107" s="701"/>
      <c r="CD107" s="701"/>
      <c r="CE107" s="701"/>
      <c r="CF107" s="701"/>
      <c r="CG107" s="701"/>
      <c r="CH107" s="701"/>
      <c r="CI107" s="701"/>
      <c r="CJ107" s="701"/>
      <c r="CK107" s="701"/>
      <c r="CL107" s="701"/>
      <c r="CM107" s="701"/>
      <c r="CN107" s="701"/>
      <c r="CO107" s="701"/>
      <c r="CP107" s="701"/>
      <c r="CQ107" s="701"/>
      <c r="CR107" s="701"/>
      <c r="CS107" s="701"/>
      <c r="CT107" s="701"/>
      <c r="CU107" s="701"/>
      <c r="CV107" s="701"/>
      <c r="CW107" s="701"/>
      <c r="CX107" s="701"/>
      <c r="CY107" s="701"/>
      <c r="CZ107" s="701"/>
      <c r="DA107" s="701"/>
      <c r="DB107" s="701"/>
      <c r="DC107" s="701"/>
      <c r="DD107" s="701"/>
      <c r="DE107" s="701"/>
      <c r="DF107" s="701"/>
      <c r="DG107" s="701"/>
      <c r="DH107" s="701"/>
      <c r="DI107" s="701"/>
      <c r="DJ107" s="701"/>
      <c r="DK107" s="701"/>
      <c r="DL107" s="701"/>
      <c r="DM107" s="701"/>
      <c r="DN107" s="701"/>
      <c r="DO107" s="701"/>
      <c r="DP107" s="701"/>
      <c r="DQ107" s="701"/>
      <c r="DR107" s="701"/>
      <c r="DS107" s="701"/>
      <c r="DT107" s="701"/>
      <c r="DU107" s="701"/>
      <c r="DV107" s="701"/>
      <c r="DW107" s="701"/>
      <c r="DX107" s="701"/>
      <c r="DY107" s="701"/>
      <c r="DZ107" s="701"/>
      <c r="EA107" s="701"/>
      <c r="EB107" s="701"/>
      <c r="EC107" s="701"/>
      <c r="ED107" s="701"/>
      <c r="EE107" s="701"/>
      <c r="EF107" s="701"/>
      <c r="EG107" s="701"/>
      <c r="EH107" s="701"/>
      <c r="EI107" s="701"/>
      <c r="EJ107" s="701"/>
      <c r="EK107" s="701"/>
      <c r="EL107" s="701"/>
      <c r="EM107" s="701"/>
      <c r="EN107" s="701"/>
      <c r="EO107" s="701"/>
      <c r="EP107" s="701"/>
      <c r="EQ107" s="701"/>
      <c r="ER107" s="701"/>
      <c r="ES107" s="701"/>
      <c r="ET107" s="701"/>
      <c r="EU107" s="701"/>
      <c r="EV107" s="701"/>
      <c r="EW107" s="701"/>
      <c r="EX107" s="701"/>
      <c r="EY107" s="701"/>
      <c r="EZ107" s="701"/>
      <c r="FA107" s="701"/>
      <c r="FB107" s="701"/>
      <c r="FC107" s="701"/>
      <c r="FD107" s="701"/>
      <c r="FE107" s="701"/>
      <c r="FF107" s="701"/>
      <c r="FG107" s="701"/>
      <c r="FH107" s="701"/>
      <c r="FI107" s="701"/>
      <c r="FJ107" s="701"/>
      <c r="FK107" s="701"/>
      <c r="FL107" s="701"/>
      <c r="FM107" s="701"/>
      <c r="FN107" s="701"/>
      <c r="FO107" s="701"/>
      <c r="FP107" s="701"/>
      <c r="FQ107" s="701"/>
      <c r="FR107" s="701"/>
      <c r="FS107" s="701"/>
      <c r="FT107" s="701"/>
      <c r="FU107" s="701"/>
      <c r="FV107" s="701"/>
      <c r="FW107" s="701"/>
      <c r="FX107" s="701"/>
      <c r="FY107" s="701"/>
      <c r="FZ107" s="701"/>
      <c r="GA107" s="701"/>
      <c r="GB107" s="701"/>
      <c r="GC107" s="701"/>
      <c r="GD107" s="701"/>
      <c r="GE107" s="701"/>
    </row>
    <row r="108" spans="1:187" x14ac:dyDescent="0.6">
      <c r="AF108" s="381"/>
      <c r="AG108" s="381"/>
      <c r="AH108" s="701"/>
      <c r="AI108" s="701"/>
      <c r="AJ108" s="701"/>
      <c r="AK108" s="701"/>
      <c r="AL108" s="701"/>
      <c r="AM108" s="701"/>
      <c r="AN108" s="701"/>
      <c r="AO108" s="701"/>
      <c r="AP108" s="701"/>
      <c r="AQ108" s="701"/>
      <c r="AR108" s="701"/>
      <c r="AS108" s="701"/>
      <c r="AT108" s="701"/>
      <c r="AU108" s="701"/>
      <c r="AV108" s="701"/>
      <c r="AW108" s="701"/>
      <c r="AX108" s="701"/>
      <c r="AY108" s="701"/>
      <c r="AZ108" s="701"/>
      <c r="BA108" s="701"/>
      <c r="BB108" s="701"/>
      <c r="BC108" s="701"/>
      <c r="BD108" s="701"/>
      <c r="BE108" s="701"/>
      <c r="BF108" s="701"/>
      <c r="BG108" s="701"/>
      <c r="BH108" s="701"/>
      <c r="BI108" s="701"/>
      <c r="BJ108" s="701"/>
      <c r="BK108" s="701"/>
      <c r="BL108" s="701"/>
      <c r="BM108" s="701"/>
      <c r="BN108" s="701"/>
      <c r="BO108" s="701"/>
      <c r="BP108" s="701"/>
      <c r="BQ108" s="701"/>
      <c r="BR108" s="701"/>
      <c r="BS108" s="701"/>
      <c r="BT108" s="701"/>
      <c r="BU108" s="701"/>
      <c r="BV108" s="701"/>
      <c r="BW108" s="701"/>
      <c r="BX108" s="701"/>
      <c r="BY108" s="701"/>
      <c r="BZ108" s="701"/>
      <c r="CA108" s="701"/>
      <c r="CB108" s="701"/>
      <c r="CC108" s="701"/>
      <c r="CD108" s="701"/>
      <c r="CE108" s="701"/>
      <c r="CF108" s="701"/>
      <c r="CG108" s="701"/>
      <c r="CH108" s="701"/>
      <c r="CI108" s="701"/>
      <c r="CJ108" s="701"/>
      <c r="CK108" s="701"/>
      <c r="CL108" s="701"/>
      <c r="CM108" s="701"/>
      <c r="CN108" s="701"/>
      <c r="CO108" s="701"/>
      <c r="CP108" s="701"/>
      <c r="CQ108" s="701"/>
      <c r="CR108" s="701"/>
      <c r="CS108" s="701"/>
      <c r="CT108" s="701"/>
      <c r="CU108" s="701"/>
      <c r="CV108" s="701"/>
      <c r="CW108" s="701"/>
      <c r="CX108" s="701"/>
      <c r="CY108" s="701"/>
      <c r="CZ108" s="701"/>
      <c r="DA108" s="701"/>
      <c r="DB108" s="701"/>
      <c r="DC108" s="701"/>
      <c r="DD108" s="701"/>
      <c r="DE108" s="701"/>
      <c r="DF108" s="701"/>
      <c r="DG108" s="701"/>
      <c r="DH108" s="701"/>
      <c r="DI108" s="701"/>
      <c r="DJ108" s="701"/>
      <c r="DK108" s="701"/>
      <c r="DL108" s="701"/>
      <c r="DM108" s="701"/>
      <c r="DN108" s="701"/>
      <c r="DO108" s="701"/>
      <c r="DP108" s="701"/>
      <c r="DQ108" s="701"/>
      <c r="DR108" s="701"/>
      <c r="DS108" s="701"/>
      <c r="DT108" s="701"/>
      <c r="DU108" s="701"/>
      <c r="DV108" s="701"/>
      <c r="DW108" s="701"/>
      <c r="DX108" s="701"/>
      <c r="DY108" s="701"/>
      <c r="DZ108" s="701"/>
      <c r="EA108" s="701"/>
      <c r="EB108" s="701"/>
      <c r="EC108" s="701"/>
      <c r="ED108" s="701"/>
      <c r="EE108" s="701"/>
      <c r="EF108" s="701"/>
      <c r="EG108" s="701"/>
      <c r="EH108" s="701"/>
      <c r="EI108" s="701"/>
      <c r="EJ108" s="701"/>
      <c r="EK108" s="701"/>
      <c r="EL108" s="701"/>
      <c r="EM108" s="701"/>
      <c r="EN108" s="701"/>
      <c r="EO108" s="701"/>
      <c r="EP108" s="701"/>
      <c r="EQ108" s="701"/>
      <c r="ER108" s="701"/>
      <c r="ES108" s="701"/>
      <c r="ET108" s="701"/>
      <c r="EU108" s="701"/>
      <c r="EV108" s="701"/>
      <c r="EW108" s="701"/>
      <c r="EX108" s="701"/>
      <c r="EY108" s="701"/>
      <c r="EZ108" s="701"/>
      <c r="FA108" s="701"/>
      <c r="FB108" s="701"/>
      <c r="FC108" s="701"/>
      <c r="FD108" s="701"/>
      <c r="FE108" s="701"/>
      <c r="FF108" s="701"/>
      <c r="FG108" s="701"/>
      <c r="FH108" s="701"/>
      <c r="FI108" s="701"/>
      <c r="FJ108" s="701"/>
      <c r="FK108" s="701"/>
      <c r="FL108" s="701"/>
      <c r="FM108" s="701"/>
      <c r="FN108" s="701"/>
      <c r="FO108" s="701"/>
      <c r="FP108" s="701"/>
      <c r="FQ108" s="701"/>
      <c r="FR108" s="701"/>
      <c r="FS108" s="701"/>
      <c r="FT108" s="701"/>
      <c r="FU108" s="701"/>
      <c r="FV108" s="701"/>
      <c r="FW108" s="701"/>
      <c r="FX108" s="701"/>
      <c r="FY108" s="701"/>
      <c r="FZ108" s="701"/>
      <c r="GA108" s="701"/>
      <c r="GB108" s="701"/>
      <c r="GC108" s="701"/>
      <c r="GD108" s="701"/>
      <c r="GE108" s="701"/>
    </row>
    <row r="110" spans="1:187" x14ac:dyDescent="0.6">
      <c r="AB110" s="334">
        <f>AB107-18508089.94</f>
        <v>0</v>
      </c>
      <c r="AH110" s="682"/>
      <c r="AI110" s="682"/>
      <c r="AJ110" s="682"/>
      <c r="AK110" s="682"/>
      <c r="AL110" s="682"/>
      <c r="AM110" s="682"/>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c r="CC110" s="682"/>
      <c r="CD110" s="682"/>
      <c r="CE110" s="682"/>
      <c r="CF110" s="682"/>
      <c r="CG110" s="682"/>
      <c r="CH110" s="682"/>
      <c r="CI110" s="682"/>
      <c r="CJ110" s="682"/>
      <c r="CK110" s="682"/>
      <c r="CL110" s="682"/>
      <c r="CM110" s="682"/>
      <c r="CN110" s="682"/>
      <c r="CO110" s="682"/>
      <c r="CP110" s="682"/>
      <c r="CQ110" s="682"/>
      <c r="CR110" s="682"/>
      <c r="CS110" s="682"/>
      <c r="CT110" s="682"/>
      <c r="CU110" s="682"/>
      <c r="CV110" s="682"/>
      <c r="CW110" s="682"/>
      <c r="CX110" s="682"/>
      <c r="CY110" s="682"/>
      <c r="CZ110" s="682"/>
      <c r="DA110" s="682"/>
      <c r="DB110" s="682"/>
      <c r="DC110" s="682"/>
      <c r="DD110" s="682"/>
      <c r="DE110" s="682"/>
      <c r="DF110" s="682"/>
      <c r="DG110" s="682"/>
      <c r="DH110" s="682"/>
      <c r="DI110" s="682"/>
      <c r="DJ110" s="682"/>
      <c r="DK110" s="682"/>
      <c r="DL110" s="682"/>
      <c r="DM110" s="682"/>
      <c r="DN110" s="682"/>
      <c r="DO110" s="682"/>
      <c r="DP110" s="682"/>
      <c r="DQ110" s="682"/>
      <c r="DR110" s="682"/>
      <c r="DS110" s="682"/>
      <c r="DT110" s="682"/>
      <c r="DU110" s="682"/>
      <c r="DV110" s="682"/>
      <c r="DW110" s="682"/>
      <c r="DX110" s="682"/>
      <c r="DY110" s="682"/>
      <c r="DZ110" s="682"/>
      <c r="EA110" s="682"/>
      <c r="EB110" s="682"/>
      <c r="EC110" s="682"/>
      <c r="ED110" s="682"/>
      <c r="EE110" s="682"/>
      <c r="EF110" s="682"/>
      <c r="EG110" s="682"/>
      <c r="EH110" s="682"/>
      <c r="EI110" s="682"/>
      <c r="EJ110" s="682"/>
      <c r="EK110" s="682"/>
      <c r="EL110" s="682"/>
      <c r="EM110" s="682"/>
      <c r="EN110" s="682"/>
      <c r="EO110" s="682"/>
      <c r="EP110" s="682"/>
      <c r="EQ110" s="682"/>
      <c r="ER110" s="682"/>
      <c r="ES110" s="682"/>
      <c r="ET110" s="682"/>
      <c r="EU110" s="682"/>
      <c r="EV110" s="682"/>
      <c r="EW110" s="682"/>
      <c r="EX110" s="682"/>
      <c r="EY110" s="682"/>
      <c r="EZ110" s="682"/>
      <c r="FA110" s="682"/>
      <c r="FB110" s="682"/>
      <c r="FC110" s="682"/>
      <c r="FD110" s="682"/>
      <c r="FE110" s="682"/>
      <c r="FF110" s="682"/>
      <c r="FG110" s="682"/>
      <c r="FH110" s="682"/>
      <c r="FI110" s="682"/>
      <c r="FJ110" s="682"/>
      <c r="FK110" s="682"/>
      <c r="FL110" s="682"/>
      <c r="FM110" s="682"/>
      <c r="FN110" s="682"/>
      <c r="FO110" s="682"/>
      <c r="FP110" s="682"/>
      <c r="FQ110" s="682"/>
      <c r="FR110" s="682"/>
      <c r="FS110" s="682"/>
      <c r="FT110" s="682"/>
      <c r="FU110" s="682"/>
      <c r="FV110" s="682"/>
      <c r="FW110" s="682"/>
      <c r="FX110" s="682"/>
      <c r="FY110" s="682"/>
      <c r="FZ110" s="682"/>
      <c r="GA110" s="682"/>
      <c r="GB110" s="682"/>
      <c r="GC110" s="682"/>
      <c r="GD110" s="682"/>
      <c r="GE110" s="682"/>
    </row>
  </sheetData>
  <sortState xmlns:xlrd2="http://schemas.microsoft.com/office/spreadsheetml/2017/richdata2" ref="A1:AG102">
    <sortCondition descending="1" ref="AC1"/>
  </sortState>
  <mergeCells count="1">
    <mergeCell ref="A1:A2"/>
  </mergeCells>
  <pageMargins left="0.7" right="0.7" top="0.75" bottom="0.75" header="0.3" footer="0.3"/>
  <pageSetup paperSize="9" scal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17"/>
  <sheetViews>
    <sheetView view="pageBreakPreview" topLeftCell="A100" zoomScale="60" zoomScaleNormal="100" workbookViewId="0">
      <selection activeCell="A25" sqref="A25"/>
    </sheetView>
  </sheetViews>
  <sheetFormatPr defaultColWidth="98.36328125" defaultRowHeight="30.75" customHeight="1" x14ac:dyDescent="0.75"/>
  <cols>
    <col min="1" max="1" width="126.6328125" style="396" customWidth="1"/>
    <col min="2" max="2" width="52" style="396" customWidth="1"/>
    <col min="3" max="3" width="32.08984375" style="398" customWidth="1"/>
    <col min="4" max="4" width="36.6328125" style="396" customWidth="1"/>
    <col min="5" max="5" width="31.90625" style="397" customWidth="1"/>
    <col min="6" max="6" width="36.36328125" style="397" customWidth="1"/>
    <col min="7" max="7" width="34.90625" style="397" customWidth="1"/>
    <col min="8" max="8" width="36.6328125" style="397" customWidth="1"/>
    <col min="9" max="9" width="32.54296875" style="397" customWidth="1"/>
    <col min="10" max="10" width="38.453125" style="397" customWidth="1"/>
    <col min="11" max="11" width="42.08984375" style="397" customWidth="1"/>
    <col min="12" max="12" width="34.36328125" style="397" customWidth="1"/>
    <col min="13" max="13" width="36" style="397" customWidth="1"/>
    <col min="14" max="14" width="40.54296875" style="397" customWidth="1"/>
    <col min="15" max="15" width="35" style="397" customWidth="1"/>
    <col min="16" max="16" width="34.90625" style="397" customWidth="1"/>
    <col min="17" max="17" width="44.90625" style="397" customWidth="1"/>
    <col min="18" max="18" width="32.453125" style="397" customWidth="1"/>
    <col min="19" max="19" width="42.6328125" style="397" customWidth="1"/>
    <col min="20" max="20" width="47.54296875" style="397" customWidth="1"/>
    <col min="21" max="21" width="39" style="397" customWidth="1"/>
    <col min="22" max="22" width="31.90625" style="397" customWidth="1"/>
    <col min="23" max="23" width="43" style="397" customWidth="1"/>
    <col min="24" max="24" width="41.54296875" style="397" customWidth="1"/>
    <col min="25" max="25" width="40.36328125" style="397" customWidth="1"/>
    <col min="26" max="26" width="39.453125" style="397" customWidth="1"/>
    <col min="27" max="27" width="31.54296875" style="397" customWidth="1"/>
    <col min="28" max="28" width="45.54296875" style="397" customWidth="1"/>
    <col min="29" max="29" width="38.6328125" style="397" customWidth="1"/>
    <col min="30" max="30" width="22.90625" style="393" customWidth="1"/>
    <col min="31" max="31" width="35.453125" style="13" customWidth="1"/>
    <col min="32" max="32" width="50.90625" style="13" customWidth="1"/>
    <col min="33" max="33" width="40.453125" style="13" customWidth="1"/>
    <col min="34" max="34" width="46.36328125" style="13" customWidth="1"/>
    <col min="35" max="16384" width="98.36328125" style="13"/>
  </cols>
  <sheetData>
    <row r="1" spans="1:34" ht="30.75" customHeight="1" x14ac:dyDescent="0.75">
      <c r="A1" s="1029" t="s">
        <v>0</v>
      </c>
      <c r="B1" s="394"/>
      <c r="C1" s="395"/>
      <c r="AD1" s="581"/>
    </row>
    <row r="2" spans="1:34" ht="30.75" customHeight="1" thickBot="1" x14ac:dyDescent="0.8">
      <c r="A2" s="1035"/>
      <c r="D2" s="394"/>
      <c r="AD2" s="581"/>
    </row>
    <row r="3" spans="1:34" ht="30.75" customHeight="1" thickBot="1" x14ac:dyDescent="0.8">
      <c r="A3" s="399">
        <v>42460</v>
      </c>
      <c r="B3" s="400" t="s">
        <v>293</v>
      </c>
      <c r="C3" s="400"/>
      <c r="D3" s="400" t="s">
        <v>3</v>
      </c>
      <c r="E3" s="400" t="s">
        <v>5</v>
      </c>
      <c r="F3" s="400" t="s">
        <v>3</v>
      </c>
      <c r="G3" s="400" t="s">
        <v>5</v>
      </c>
      <c r="H3" s="400" t="s">
        <v>3</v>
      </c>
      <c r="I3" s="400" t="s">
        <v>5</v>
      </c>
      <c r="J3" s="400" t="s">
        <v>3</v>
      </c>
      <c r="K3" s="400" t="s">
        <v>5</v>
      </c>
      <c r="L3" s="400" t="s">
        <v>3</v>
      </c>
      <c r="M3" s="400" t="s">
        <v>5</v>
      </c>
      <c r="N3" s="400" t="s">
        <v>3</v>
      </c>
      <c r="O3" s="400" t="s">
        <v>5</v>
      </c>
      <c r="P3" s="400" t="s">
        <v>3</v>
      </c>
      <c r="Q3" s="400" t="s">
        <v>5</v>
      </c>
      <c r="R3" s="400" t="s">
        <v>181</v>
      </c>
      <c r="S3" s="400" t="s">
        <v>5</v>
      </c>
      <c r="T3" s="400" t="s">
        <v>181</v>
      </c>
      <c r="U3" s="400" t="s">
        <v>5</v>
      </c>
      <c r="V3" s="400" t="s">
        <v>181</v>
      </c>
      <c r="W3" s="400" t="s">
        <v>5</v>
      </c>
      <c r="X3" s="400" t="s">
        <v>181</v>
      </c>
      <c r="Y3" s="400" t="s">
        <v>5</v>
      </c>
      <c r="Z3" s="400" t="s">
        <v>181</v>
      </c>
      <c r="AA3" s="400" t="s">
        <v>5</v>
      </c>
      <c r="AB3" s="400" t="s">
        <v>5</v>
      </c>
      <c r="AC3" s="401" t="s">
        <v>6</v>
      </c>
      <c r="AD3" s="581"/>
      <c r="AE3" s="585" t="s">
        <v>293</v>
      </c>
      <c r="AF3" s="586"/>
      <c r="AG3" s="586"/>
      <c r="AH3" s="586"/>
    </row>
    <row r="4" spans="1:34" ht="30.75" customHeight="1" thickBot="1" x14ac:dyDescent="0.8">
      <c r="A4" s="402" t="s">
        <v>1</v>
      </c>
      <c r="B4" s="403" t="s">
        <v>213</v>
      </c>
      <c r="C4" s="403" t="s">
        <v>319</v>
      </c>
      <c r="D4" s="403" t="s">
        <v>344</v>
      </c>
      <c r="E4" s="404" t="s">
        <v>344</v>
      </c>
      <c r="F4" s="404" t="s">
        <v>345</v>
      </c>
      <c r="G4" s="404" t="s">
        <v>345</v>
      </c>
      <c r="H4" s="404" t="s">
        <v>346</v>
      </c>
      <c r="I4" s="404" t="s">
        <v>346</v>
      </c>
      <c r="J4" s="405" t="s">
        <v>347</v>
      </c>
      <c r="K4" s="405" t="s">
        <v>347</v>
      </c>
      <c r="L4" s="405" t="s">
        <v>348</v>
      </c>
      <c r="M4" s="405" t="s">
        <v>348</v>
      </c>
      <c r="N4" s="405" t="s">
        <v>349</v>
      </c>
      <c r="O4" s="405" t="s">
        <v>349</v>
      </c>
      <c r="P4" s="405" t="s">
        <v>350</v>
      </c>
      <c r="Q4" s="405" t="s">
        <v>350</v>
      </c>
      <c r="R4" s="405" t="s">
        <v>351</v>
      </c>
      <c r="S4" s="405" t="s">
        <v>351</v>
      </c>
      <c r="T4" s="405" t="s">
        <v>352</v>
      </c>
      <c r="U4" s="405" t="s">
        <v>352</v>
      </c>
      <c r="V4" s="405" t="s">
        <v>353</v>
      </c>
      <c r="W4" s="405" t="s">
        <v>353</v>
      </c>
      <c r="X4" s="405" t="s">
        <v>354</v>
      </c>
      <c r="Y4" s="405" t="s">
        <v>354</v>
      </c>
      <c r="Z4" s="405" t="s">
        <v>355</v>
      </c>
      <c r="AA4" s="405" t="s">
        <v>356</v>
      </c>
      <c r="AB4" s="405" t="s">
        <v>357</v>
      </c>
      <c r="AC4" s="406"/>
      <c r="AD4" s="581"/>
      <c r="AE4" s="585" t="s">
        <v>213</v>
      </c>
      <c r="AF4" s="585" t="s">
        <v>358</v>
      </c>
      <c r="AG4" s="585" t="s">
        <v>359</v>
      </c>
      <c r="AH4" s="585" t="s">
        <v>360</v>
      </c>
    </row>
    <row r="5" spans="1:34" ht="30.75" customHeight="1" x14ac:dyDescent="0.75">
      <c r="AC5" s="407"/>
      <c r="AD5" s="582"/>
      <c r="AE5" s="586"/>
      <c r="AF5" s="586"/>
      <c r="AG5" s="586"/>
      <c r="AH5" s="586"/>
    </row>
    <row r="6" spans="1:34" ht="30.75" customHeight="1" x14ac:dyDescent="0.75">
      <c r="A6" s="408" t="s">
        <v>25</v>
      </c>
      <c r="B6" s="409">
        <f>'2014-2015'!AC6</f>
        <v>76808156.149999991</v>
      </c>
      <c r="C6" s="410"/>
      <c r="D6" s="411">
        <v>9583857.7799999993</v>
      </c>
      <c r="E6" s="409">
        <v>5407317.3200000003</v>
      </c>
      <c r="F6" s="409">
        <f>2229747.38+1419932.23+1049276.59</f>
        <v>4698956.2</v>
      </c>
      <c r="G6" s="409">
        <v>3969106.73</v>
      </c>
      <c r="H6" s="409">
        <f>4038698.3+5407317.32</f>
        <v>9446015.620000001</v>
      </c>
      <c r="I6" s="409">
        <v>2036628.1</v>
      </c>
      <c r="J6" s="409">
        <v>8525548.0700000003</v>
      </c>
      <c r="K6" s="409">
        <v>2708424.8</v>
      </c>
      <c r="L6" s="409">
        <f>3931190.48+2036628.1</f>
        <v>5967818.5800000001</v>
      </c>
      <c r="M6" s="409">
        <v>1907699.17</v>
      </c>
      <c r="N6" s="409">
        <v>4616123.97</v>
      </c>
      <c r="O6" s="409">
        <v>1754958.4</v>
      </c>
      <c r="P6" s="409">
        <v>1754958.4</v>
      </c>
      <c r="Q6" s="409">
        <v>1990394.93</v>
      </c>
      <c r="R6" s="409">
        <v>1990394.93</v>
      </c>
      <c r="S6" s="409">
        <v>2155683.23</v>
      </c>
      <c r="T6" s="409">
        <f>49999012.05+2155683.23</f>
        <v>52154695.279999994</v>
      </c>
      <c r="U6" s="409">
        <v>1503388.26</v>
      </c>
      <c r="V6" s="409">
        <v>1503388.26</v>
      </c>
      <c r="W6" s="409">
        <v>1635704.49</v>
      </c>
      <c r="X6" s="409">
        <v>1635704.49</v>
      </c>
      <c r="Y6" s="409">
        <v>2512556.81</v>
      </c>
      <c r="Z6" s="409"/>
      <c r="AA6" s="409">
        <v>1042825.05</v>
      </c>
      <c r="AB6" s="409">
        <v>566413.09</v>
      </c>
      <c r="AC6" s="409">
        <f t="shared" ref="AC6:AC37" si="0">B6-C6-D6+E6-F6+G6-H6+I6-J6+K6-L6+M6-N6+O6-P6+Q6-R6+S6-T6+U6-V6+W6-X6+Y6-Z6+AA6+AB6</f>
        <v>4121794.95</v>
      </c>
      <c r="AD6" s="583"/>
      <c r="AE6" s="419">
        <v>76808156.149999991</v>
      </c>
      <c r="AF6" s="587">
        <f>E6+G6+I6+K6+M6+O6+Q6+S6+U6+W6+Y6+AA6+AB6</f>
        <v>29191100.379999999</v>
      </c>
      <c r="AG6" s="587">
        <f>D6+F6+H6+J6+L6+N6+P6+R6+T6+V6+X6+Z6</f>
        <v>101877461.57999998</v>
      </c>
      <c r="AH6" s="587">
        <f>AE6+AF6-AG6</f>
        <v>4121794.950000003</v>
      </c>
    </row>
    <row r="7" spans="1:34" ht="30.75" customHeight="1" x14ac:dyDescent="0.75">
      <c r="A7" s="408" t="s">
        <v>24</v>
      </c>
      <c r="B7" s="409">
        <f>'2014-2015'!AC7</f>
        <v>44592577.209999986</v>
      </c>
      <c r="C7" s="410"/>
      <c r="D7" s="411">
        <f>813087.1+41874.9+20770.7</f>
        <v>875732.7</v>
      </c>
      <c r="E7" s="409">
        <v>7555582.9400000004</v>
      </c>
      <c r="F7" s="409">
        <f>59041.15+42904.37+512637.23+49409.87+191158.96+660675.7+56301.08</f>
        <v>1572128.3599999999</v>
      </c>
      <c r="G7" s="409">
        <v>4217243.84</v>
      </c>
      <c r="H7" s="409">
        <f>312393.36+946389.27+1087512.92+346195.2</f>
        <v>2692490.75</v>
      </c>
      <c r="I7" s="409">
        <v>2218338.4500000002</v>
      </c>
      <c r="J7" s="409">
        <f>425382.15+136707.74+50879.97+51235.79+501322.16</f>
        <v>1165527.81</v>
      </c>
      <c r="K7" s="409">
        <v>4351365.7</v>
      </c>
      <c r="L7" s="409">
        <f>327406.27+419451.49+48704.11+720692.26+527227.42+765655.64+173077.58+97250.65</f>
        <v>3079465.42</v>
      </c>
      <c r="M7" s="409">
        <v>4421656.05</v>
      </c>
      <c r="N7" s="409">
        <f>419942.73+777203.3+639135.19+336562.52+197037.39+1245694.59+3058.38+1126507.53+430982.96+48704.11+1272195.15</f>
        <v>6497023.8500000015</v>
      </c>
      <c r="O7" s="409">
        <v>3931890.35</v>
      </c>
      <c r="P7" s="409">
        <f>623988.79+216548.02+100819.42+1129191.15+350791.37+193956.54</f>
        <v>2615295.29</v>
      </c>
      <c r="Q7" s="409">
        <v>4816202.66</v>
      </c>
      <c r="R7" s="409">
        <f>136004.95+1016500.6+104790.44+67354.85+509045.84</f>
        <v>1833696.6800000002</v>
      </c>
      <c r="S7" s="409">
        <v>6422707.1699999999</v>
      </c>
      <c r="T7" s="409">
        <f>327263.04+799868.7+178535.97+390987.48+1043500.28+53818.21+317088.72+90594.33+1384519.81+197589.57+483348.72+972209.94+610519.18</f>
        <v>6849843.9499999993</v>
      </c>
      <c r="U7" s="409">
        <v>4325039.26</v>
      </c>
      <c r="V7" s="409">
        <f>343596.01+3058.38+489377.96+340794.61+1127092.25+96139.91</f>
        <v>2400059.12</v>
      </c>
      <c r="W7" s="409">
        <v>4027739.83</v>
      </c>
      <c r="X7" s="409">
        <f>744579.73+90640.31+165545.51+219567.19+1220302.29+967938.71+82289.45+93518.58</f>
        <v>3584381.7700000005</v>
      </c>
      <c r="Y7" s="409">
        <v>4580468.1100000003</v>
      </c>
      <c r="Z7" s="409">
        <f>58838.27+1127617.94+300028.53+646128.31+3058.38+324550.85+467439.69+609267.23+220756.35</f>
        <v>3757685.55</v>
      </c>
      <c r="AA7" s="409">
        <v>3088831.21</v>
      </c>
      <c r="AB7" s="409">
        <v>1416646.71</v>
      </c>
      <c r="AC7" s="409">
        <f t="shared" si="0"/>
        <v>63042958.239999987</v>
      </c>
      <c r="AD7" s="582"/>
      <c r="AE7" s="419">
        <v>44592577.209999986</v>
      </c>
      <c r="AF7" s="587">
        <f t="shared" ref="AF7:AF70" si="1">E7+G7+I7+K7+M7+O7+Q7+S7+U7+W7+Y7+AA7+AB7</f>
        <v>55373712.280000001</v>
      </c>
      <c r="AG7" s="587">
        <f t="shared" ref="AG7:AG70" si="2">D7+F7+H7+J7+L7+N7+P7+R7+T7+V7+X7+Z7</f>
        <v>36923331.25</v>
      </c>
      <c r="AH7" s="587">
        <f t="shared" ref="AH7:AH70" si="3">AE7+AF7-AG7</f>
        <v>63042958.23999998</v>
      </c>
    </row>
    <row r="8" spans="1:34" ht="30.75" customHeight="1" x14ac:dyDescent="0.75">
      <c r="A8" s="412" t="s">
        <v>361</v>
      </c>
      <c r="B8" s="409">
        <f>'2014-2015'!AC8</f>
        <v>69160514.439999998</v>
      </c>
      <c r="C8" s="410"/>
      <c r="D8" s="411">
        <f>13639439.76+24973262.73+4196666.43</f>
        <v>42809368.920000002</v>
      </c>
      <c r="E8" s="409">
        <v>9950411.8000000007</v>
      </c>
      <c r="F8" s="409">
        <f>9000712.16+13097518.96+2568368.54+4449831.69+4803622.29</f>
        <v>33920053.640000001</v>
      </c>
      <c r="G8" s="409">
        <v>10740822.83</v>
      </c>
      <c r="H8" s="409">
        <f>669367.24+711116.07</f>
        <v>1380483.31</v>
      </c>
      <c r="I8" s="409">
        <v>9979843.5</v>
      </c>
      <c r="J8" s="409">
        <f>5128634.39+4889555.97</f>
        <v>10018190.359999999</v>
      </c>
      <c r="K8" s="409">
        <v>10341202.640000001</v>
      </c>
      <c r="L8" s="409">
        <f>710452+4226858.44+5084546.68</f>
        <v>10021857.120000001</v>
      </c>
      <c r="M8" s="409">
        <v>10480312.859999999</v>
      </c>
      <c r="N8" s="409">
        <f>9804533.02+10274776.08</f>
        <v>20079309.100000001</v>
      </c>
      <c r="O8" s="409">
        <v>10732944.210000001</v>
      </c>
      <c r="P8" s="409">
        <v>720382.63</v>
      </c>
      <c r="Q8" s="409">
        <v>10962188.92</v>
      </c>
      <c r="R8" s="409"/>
      <c r="S8" s="409">
        <v>12093133.43</v>
      </c>
      <c r="T8" s="409">
        <f>5567430.68+5162354.38</f>
        <v>10729785.059999999</v>
      </c>
      <c r="U8" s="409">
        <v>10166614.529999999</v>
      </c>
      <c r="V8" s="409"/>
      <c r="W8" s="409">
        <v>9731906.0700000003</v>
      </c>
      <c r="X8" s="409"/>
      <c r="Y8" s="409">
        <v>10712970.41</v>
      </c>
      <c r="Z8" s="409">
        <v>11653593.960000001</v>
      </c>
      <c r="AA8" s="409">
        <v>8009454.4000000004</v>
      </c>
      <c r="AB8" s="409">
        <v>2548732.94</v>
      </c>
      <c r="AC8" s="409">
        <f t="shared" si="0"/>
        <v>54278028.87999998</v>
      </c>
      <c r="AD8" s="582"/>
      <c r="AE8" s="419">
        <v>69160514.439999998</v>
      </c>
      <c r="AF8" s="587">
        <f t="shared" si="1"/>
        <v>126450538.53999999</v>
      </c>
      <c r="AG8" s="587">
        <f t="shared" si="2"/>
        <v>141333024.10000002</v>
      </c>
      <c r="AH8" s="587">
        <f t="shared" si="3"/>
        <v>54278028.879999965</v>
      </c>
    </row>
    <row r="9" spans="1:34" ht="30.75" customHeight="1" x14ac:dyDescent="0.75">
      <c r="A9" s="408" t="s">
        <v>43</v>
      </c>
      <c r="B9" s="409">
        <f>'2014-2015'!AC9</f>
        <v>9197336.6099999975</v>
      </c>
      <c r="C9" s="410"/>
      <c r="D9" s="411">
        <v>0</v>
      </c>
      <c r="E9" s="409">
        <v>0</v>
      </c>
      <c r="F9" s="409"/>
      <c r="G9" s="409">
        <v>0</v>
      </c>
      <c r="H9" s="409"/>
      <c r="I9" s="409">
        <v>0</v>
      </c>
      <c r="J9" s="409"/>
      <c r="K9" s="409">
        <v>0</v>
      </c>
      <c r="L9" s="409"/>
      <c r="M9" s="409">
        <v>0</v>
      </c>
      <c r="N9" s="409"/>
      <c r="O9" s="409">
        <v>0</v>
      </c>
      <c r="P9" s="409"/>
      <c r="Q9" s="409">
        <v>0</v>
      </c>
      <c r="R9" s="409"/>
      <c r="S9" s="409">
        <v>0</v>
      </c>
      <c r="T9" s="409"/>
      <c r="U9" s="409">
        <v>0</v>
      </c>
      <c r="V9" s="409"/>
      <c r="W9" s="409">
        <v>0</v>
      </c>
      <c r="X9" s="409"/>
      <c r="Y9" s="409">
        <v>0</v>
      </c>
      <c r="Z9" s="409"/>
      <c r="AA9" s="409">
        <v>0</v>
      </c>
      <c r="AB9" s="409">
        <v>0</v>
      </c>
      <c r="AC9" s="409">
        <f t="shared" si="0"/>
        <v>9197336.6099999975</v>
      </c>
      <c r="AD9" s="582"/>
      <c r="AE9" s="419">
        <v>9197336.6099999975</v>
      </c>
      <c r="AF9" s="587">
        <f t="shared" si="1"/>
        <v>0</v>
      </c>
      <c r="AG9" s="587">
        <f t="shared" si="2"/>
        <v>0</v>
      </c>
      <c r="AH9" s="587">
        <f t="shared" si="3"/>
        <v>9197336.6099999975</v>
      </c>
    </row>
    <row r="10" spans="1:34" ht="30.75" customHeight="1" x14ac:dyDescent="0.75">
      <c r="A10" s="408" t="s">
        <v>362</v>
      </c>
      <c r="B10" s="409">
        <f>'2014-2015'!AC10</f>
        <v>11222015.750000002</v>
      </c>
      <c r="C10" s="410"/>
      <c r="D10" s="411">
        <f>1726129.65+4212083</f>
        <v>5938212.6500000004</v>
      </c>
      <c r="E10" s="409">
        <v>1864926.28</v>
      </c>
      <c r="F10" s="409">
        <v>2525379.85</v>
      </c>
      <c r="G10" s="409">
        <v>1031188.56</v>
      </c>
      <c r="H10" s="409">
        <f>1053211.18+999523.74</f>
        <v>2052734.92</v>
      </c>
      <c r="I10" s="409">
        <v>909225.36</v>
      </c>
      <c r="J10" s="409">
        <v>1864926.28</v>
      </c>
      <c r="K10" s="409">
        <v>1133460.74</v>
      </c>
      <c r="L10" s="409">
        <v>1031188.56</v>
      </c>
      <c r="M10" s="409">
        <v>1851631.18</v>
      </c>
      <c r="N10" s="409"/>
      <c r="O10" s="409">
        <v>1554350.72</v>
      </c>
      <c r="P10" s="409">
        <f>1133460.74+909225.36</f>
        <v>2042686.1</v>
      </c>
      <c r="Q10" s="409">
        <v>1336972.94</v>
      </c>
      <c r="R10" s="409"/>
      <c r="S10" s="409">
        <v>1466964.17</v>
      </c>
      <c r="T10" s="409"/>
      <c r="U10" s="409">
        <v>1019166.67</v>
      </c>
      <c r="V10" s="409"/>
      <c r="W10" s="409">
        <v>947225.42</v>
      </c>
      <c r="X10" s="409">
        <f>2891323.64</f>
        <v>2891323.64</v>
      </c>
      <c r="Y10" s="409">
        <v>1969466.08</v>
      </c>
      <c r="Z10" s="409">
        <f>1851631.18+947225.42+2486130.84</f>
        <v>5284987.4399999995</v>
      </c>
      <c r="AA10" s="409">
        <v>1005698.58</v>
      </c>
      <c r="AB10" s="409">
        <v>705098.18</v>
      </c>
      <c r="AC10" s="409">
        <f t="shared" si="0"/>
        <v>4385951.1900000013</v>
      </c>
      <c r="AD10" s="582"/>
      <c r="AE10" s="419">
        <v>11222015.750000002</v>
      </c>
      <c r="AF10" s="587">
        <f t="shared" si="1"/>
        <v>16795374.879999999</v>
      </c>
      <c r="AG10" s="587">
        <f t="shared" si="2"/>
        <v>23631439.439999998</v>
      </c>
      <c r="AH10" s="587">
        <f t="shared" si="3"/>
        <v>4385951.1900000051</v>
      </c>
    </row>
    <row r="11" spans="1:34" ht="30.75" customHeight="1" x14ac:dyDescent="0.75">
      <c r="A11" s="408" t="s">
        <v>31</v>
      </c>
      <c r="B11" s="409">
        <f>'2014-2015'!AC11</f>
        <v>14508459.110000001</v>
      </c>
      <c r="C11" s="413"/>
      <c r="D11" s="411">
        <f>87478.24+3728584.7+3151769.15</f>
        <v>6967832.0899999999</v>
      </c>
      <c r="E11" s="409">
        <v>4388182.57</v>
      </c>
      <c r="F11" s="409">
        <f>4295747.95</f>
        <v>4295747.95</v>
      </c>
      <c r="G11" s="409">
        <v>4782567.8</v>
      </c>
      <c r="H11" s="409">
        <f>4218807.43+156014.56+74398.28</f>
        <v>4449220.2699999996</v>
      </c>
      <c r="I11" s="409">
        <v>4326336.28</v>
      </c>
      <c r="J11" s="409">
        <f>1210072.36+3442424.03</f>
        <v>4652496.3899999997</v>
      </c>
      <c r="K11" s="409">
        <v>4822263.38</v>
      </c>
      <c r="L11" s="409">
        <f>3214686.92+1482112.61</f>
        <v>4696799.53</v>
      </c>
      <c r="M11" s="409">
        <v>4841998.5999999996</v>
      </c>
      <c r="N11" s="409"/>
      <c r="O11" s="409">
        <v>4847676.8</v>
      </c>
      <c r="P11" s="409">
        <f>4659744.81+159654.47+56213+14981.33+4691228.2+3292148.93+1404248.48+71510+1170236.76</f>
        <v>15519965.979999999</v>
      </c>
      <c r="Q11" s="409">
        <v>4646220.95</v>
      </c>
      <c r="R11" s="409">
        <f>192308.69</f>
        <v>192308.69</v>
      </c>
      <c r="S11" s="409">
        <v>4676522.6100000003</v>
      </c>
      <c r="T11" s="409">
        <f>4518114.45+109619.31+4360719.45</f>
        <v>8988453.2100000009</v>
      </c>
      <c r="U11" s="409">
        <v>4311967.3899999997</v>
      </c>
      <c r="V11" s="409">
        <f>4518114.45</f>
        <v>4518114.45</v>
      </c>
      <c r="W11" s="409">
        <v>3747148.48</v>
      </c>
      <c r="X11" s="409">
        <f>4122868.5+551212.51</f>
        <v>4674081.01</v>
      </c>
      <c r="Y11" s="409">
        <v>4704520.62</v>
      </c>
      <c r="Z11" s="409">
        <f>3076121.03+110795.94+3289268.56+1342502.79</f>
        <v>7818688.3199999994</v>
      </c>
      <c r="AA11" s="409">
        <f>3303444.86</f>
        <v>3303444.86</v>
      </c>
      <c r="AB11" s="409">
        <v>1186699.47</v>
      </c>
      <c r="AC11" s="409">
        <f t="shared" si="0"/>
        <v>2320301.0300000031</v>
      </c>
      <c r="AD11" s="582"/>
      <c r="AE11" s="419">
        <v>14508459.110000001</v>
      </c>
      <c r="AF11" s="587">
        <f t="shared" si="1"/>
        <v>54585549.809999995</v>
      </c>
      <c r="AG11" s="587">
        <f t="shared" si="2"/>
        <v>66773707.890000001</v>
      </c>
      <c r="AH11" s="587">
        <f t="shared" si="3"/>
        <v>2320301.0300000012</v>
      </c>
    </row>
    <row r="12" spans="1:34" ht="30.75" customHeight="1" x14ac:dyDescent="0.75">
      <c r="A12" s="408" t="s">
        <v>189</v>
      </c>
      <c r="B12" s="409">
        <f>'2014-2015'!AC12</f>
        <v>7923262.419999999</v>
      </c>
      <c r="C12" s="410"/>
      <c r="D12" s="411">
        <v>0</v>
      </c>
      <c r="E12" s="409">
        <v>5528</v>
      </c>
      <c r="F12" s="409"/>
      <c r="G12" s="409">
        <v>5528</v>
      </c>
      <c r="H12" s="409"/>
      <c r="I12" s="409">
        <v>5528</v>
      </c>
      <c r="J12" s="409"/>
      <c r="K12" s="409">
        <v>5528</v>
      </c>
      <c r="L12" s="409"/>
      <c r="M12" s="409">
        <v>5528</v>
      </c>
      <c r="N12" s="409"/>
      <c r="O12" s="409">
        <v>5528</v>
      </c>
      <c r="P12" s="409"/>
      <c r="Q12" s="409">
        <v>5528</v>
      </c>
      <c r="R12" s="409"/>
      <c r="S12" s="409">
        <v>5528</v>
      </c>
      <c r="T12" s="409"/>
      <c r="U12" s="409">
        <v>5528</v>
      </c>
      <c r="V12" s="409"/>
      <c r="W12" s="409">
        <v>5528</v>
      </c>
      <c r="X12" s="409"/>
      <c r="Y12" s="409">
        <v>5528</v>
      </c>
      <c r="Z12" s="409"/>
      <c r="AA12" s="409">
        <v>5528</v>
      </c>
      <c r="AB12" s="409">
        <v>0</v>
      </c>
      <c r="AC12" s="409">
        <f t="shared" si="0"/>
        <v>7989598.419999999</v>
      </c>
      <c r="AD12" s="582"/>
      <c r="AE12" s="419">
        <v>7923262.419999999</v>
      </c>
      <c r="AF12" s="587">
        <f t="shared" si="1"/>
        <v>66336</v>
      </c>
      <c r="AG12" s="587">
        <f t="shared" si="2"/>
        <v>0</v>
      </c>
      <c r="AH12" s="587">
        <f t="shared" si="3"/>
        <v>7989598.419999999</v>
      </c>
    </row>
    <row r="13" spans="1:34" ht="30.75" customHeight="1" x14ac:dyDescent="0.75">
      <c r="A13" s="408" t="s">
        <v>363</v>
      </c>
      <c r="B13" s="409">
        <f>'2014-2015'!AC13</f>
        <v>4093427.0699999994</v>
      </c>
      <c r="C13" s="410"/>
      <c r="D13" s="411">
        <v>0</v>
      </c>
      <c r="E13" s="409">
        <v>4527912.8600000003</v>
      </c>
      <c r="F13" s="409">
        <f>4086568.68+4494180.72</f>
        <v>8580749.4000000004</v>
      </c>
      <c r="G13" s="409">
        <v>4296840.05</v>
      </c>
      <c r="H13" s="409"/>
      <c r="I13" s="409">
        <v>4179974.97</v>
      </c>
      <c r="J13" s="409">
        <v>4154074.92</v>
      </c>
      <c r="K13" s="409">
        <v>4235363.34</v>
      </c>
      <c r="L13" s="409">
        <v>4157059.06</v>
      </c>
      <c r="M13" s="409">
        <v>4358674.21</v>
      </c>
      <c r="N13" s="409">
        <f>4218497.4+4312280.78</f>
        <v>8530778.1799999997</v>
      </c>
      <c r="O13" s="409">
        <v>4578698.7300000004</v>
      </c>
      <c r="P13" s="409"/>
      <c r="Q13" s="409">
        <v>4637006.7</v>
      </c>
      <c r="R13" s="409">
        <f>4540373.72</f>
        <v>4540373.72</v>
      </c>
      <c r="S13" s="409">
        <v>4590234.43</v>
      </c>
      <c r="T13" s="409">
        <f>4530781.39+4566345.41</f>
        <v>9097126.8000000007</v>
      </c>
      <c r="U13" s="409">
        <v>4057724.77</v>
      </c>
      <c r="V13" s="409"/>
      <c r="W13" s="409">
        <v>3923464.36</v>
      </c>
      <c r="X13" s="409">
        <f>4016840.4+3882697.69</f>
        <v>7899538.0899999999</v>
      </c>
      <c r="Y13" s="409">
        <v>4349932.8899999997</v>
      </c>
      <c r="Z13" s="409">
        <v>4310809.41</v>
      </c>
      <c r="AA13" s="409">
        <v>3399117.14</v>
      </c>
      <c r="AB13" s="409">
        <v>931654.18</v>
      </c>
      <c r="AC13" s="409">
        <f t="shared" si="0"/>
        <v>4889516.1199999964</v>
      </c>
      <c r="AD13" s="582"/>
      <c r="AE13" s="419">
        <v>4093427.0699999994</v>
      </c>
      <c r="AF13" s="587">
        <f t="shared" si="1"/>
        <v>52066598.630000003</v>
      </c>
      <c r="AG13" s="587">
        <f t="shared" si="2"/>
        <v>51270509.579999998</v>
      </c>
      <c r="AH13" s="587">
        <f t="shared" si="3"/>
        <v>4889516.1200000048</v>
      </c>
    </row>
    <row r="14" spans="1:34" ht="30.75" customHeight="1" x14ac:dyDescent="0.75">
      <c r="A14" s="408" t="s">
        <v>364</v>
      </c>
      <c r="B14" s="409">
        <f>'2014-2015'!AC14</f>
        <v>3531464.4699999988</v>
      </c>
      <c r="C14" s="410"/>
      <c r="D14" s="411">
        <f>1740666.89</f>
        <v>1740666.89</v>
      </c>
      <c r="E14" s="409">
        <v>2361760.5</v>
      </c>
      <c r="F14" s="409">
        <v>2281706.5299999998</v>
      </c>
      <c r="G14" s="409">
        <v>2364811.41</v>
      </c>
      <c r="H14" s="409">
        <v>220232.95999999999</v>
      </c>
      <c r="I14" s="409">
        <v>2237880.56</v>
      </c>
      <c r="J14" s="409">
        <v>2301661.69</v>
      </c>
      <c r="K14" s="409">
        <v>2356067.98</v>
      </c>
      <c r="L14" s="409"/>
      <c r="M14" s="409">
        <v>2286050.7599999998</v>
      </c>
      <c r="N14" s="409">
        <v>4593948.54</v>
      </c>
      <c r="O14" s="409">
        <v>2365567.62</v>
      </c>
      <c r="P14" s="409">
        <f>2365567.62+2286050.76</f>
        <v>4651618.38</v>
      </c>
      <c r="Q14" s="409">
        <v>2219246.23</v>
      </c>
      <c r="R14" s="409">
        <f>85294.86</f>
        <v>85294.86</v>
      </c>
      <c r="S14" s="409">
        <v>2232452.16</v>
      </c>
      <c r="T14" s="409">
        <v>36679.660000000003</v>
      </c>
      <c r="U14" s="409">
        <v>2297704.87</v>
      </c>
      <c r="V14" s="409"/>
      <c r="W14" s="409">
        <v>2227592.7200000002</v>
      </c>
      <c r="X14" s="409">
        <v>6735956.46</v>
      </c>
      <c r="Y14" s="409">
        <v>2280003.17</v>
      </c>
      <c r="Z14" s="409">
        <v>4507595.8899999997</v>
      </c>
      <c r="AA14" s="409">
        <v>1942701</v>
      </c>
      <c r="AB14" s="409">
        <v>368330</v>
      </c>
      <c r="AC14" s="409">
        <f t="shared" si="0"/>
        <v>3916271.59</v>
      </c>
      <c r="AD14" s="582"/>
      <c r="AE14" s="419">
        <v>3531464.4699999988</v>
      </c>
      <c r="AF14" s="587">
        <f t="shared" si="1"/>
        <v>27540168.980000004</v>
      </c>
      <c r="AG14" s="587">
        <f t="shared" si="2"/>
        <v>27155361.859999999</v>
      </c>
      <c r="AH14" s="587">
        <f t="shared" si="3"/>
        <v>3916271.5900000036</v>
      </c>
    </row>
    <row r="15" spans="1:34" ht="30.75" customHeight="1" x14ac:dyDescent="0.75">
      <c r="A15" s="408" t="s">
        <v>86</v>
      </c>
      <c r="B15" s="409">
        <f>'2014-2015'!AC15</f>
        <v>1836086.8000000012</v>
      </c>
      <c r="C15" s="410"/>
      <c r="D15" s="411">
        <v>0</v>
      </c>
      <c r="E15" s="409">
        <v>61587.02</v>
      </c>
      <c r="F15" s="409"/>
      <c r="G15" s="409">
        <v>62798.25</v>
      </c>
      <c r="H15" s="409"/>
      <c r="I15" s="409">
        <v>61587.02</v>
      </c>
      <c r="J15" s="409"/>
      <c r="K15" s="409">
        <v>62798.25</v>
      </c>
      <c r="L15" s="409"/>
      <c r="M15" s="409">
        <v>62798.25</v>
      </c>
      <c r="N15" s="409"/>
      <c r="O15" s="409">
        <v>61587.02</v>
      </c>
      <c r="P15" s="409"/>
      <c r="Q15" s="409">
        <v>26461.23</v>
      </c>
      <c r="R15" s="409"/>
      <c r="S15" s="409">
        <v>16501</v>
      </c>
      <c r="T15" s="409"/>
      <c r="U15" s="409">
        <v>16501</v>
      </c>
      <c r="V15" s="409"/>
      <c r="W15" s="409">
        <v>16501</v>
      </c>
      <c r="X15" s="409">
        <v>1208316.27</v>
      </c>
      <c r="Y15" s="409">
        <v>16501</v>
      </c>
      <c r="Z15" s="409"/>
      <c r="AA15" s="409">
        <v>18116.48</v>
      </c>
      <c r="AB15" s="409">
        <v>0</v>
      </c>
      <c r="AC15" s="409">
        <f t="shared" si="0"/>
        <v>1111508.0500000012</v>
      </c>
      <c r="AD15" s="582"/>
      <c r="AE15" s="419">
        <v>1836086.8000000012</v>
      </c>
      <c r="AF15" s="587">
        <f t="shared" si="1"/>
        <v>483737.51999999996</v>
      </c>
      <c r="AG15" s="587">
        <f t="shared" si="2"/>
        <v>1208316.27</v>
      </c>
      <c r="AH15" s="587">
        <f t="shared" si="3"/>
        <v>1111508.0500000012</v>
      </c>
    </row>
    <row r="16" spans="1:34" ht="30.75" customHeight="1" x14ac:dyDescent="0.75">
      <c r="A16" s="408" t="s">
        <v>334</v>
      </c>
      <c r="B16" s="409">
        <f>'2014-2015'!AC16</f>
        <v>3902918.9899999984</v>
      </c>
      <c r="C16" s="410"/>
      <c r="D16" s="411">
        <v>0</v>
      </c>
      <c r="E16" s="409">
        <v>8749</v>
      </c>
      <c r="F16" s="409"/>
      <c r="G16" s="409">
        <v>8749</v>
      </c>
      <c r="H16" s="409"/>
      <c r="I16" s="409">
        <v>8749</v>
      </c>
      <c r="J16" s="409"/>
      <c r="K16" s="409">
        <v>8749</v>
      </c>
      <c r="L16" s="409"/>
      <c r="M16" s="409">
        <v>8749</v>
      </c>
      <c r="N16" s="409"/>
      <c r="O16" s="409">
        <v>8749</v>
      </c>
      <c r="P16" s="409"/>
      <c r="Q16" s="409">
        <v>8749</v>
      </c>
      <c r="R16" s="409"/>
      <c r="S16" s="409">
        <v>8749</v>
      </c>
      <c r="T16" s="409"/>
      <c r="U16" s="409">
        <v>8749</v>
      </c>
      <c r="V16" s="409"/>
      <c r="W16" s="409">
        <v>8749</v>
      </c>
      <c r="X16" s="409"/>
      <c r="Y16" s="409">
        <v>8749</v>
      </c>
      <c r="Z16" s="409"/>
      <c r="AA16" s="409">
        <v>8749</v>
      </c>
      <c r="AB16" s="409">
        <v>0</v>
      </c>
      <c r="AC16" s="409">
        <f t="shared" si="0"/>
        <v>4007906.9899999984</v>
      </c>
      <c r="AD16" s="582"/>
      <c r="AE16" s="419">
        <v>3902918.9899999984</v>
      </c>
      <c r="AF16" s="587">
        <f t="shared" si="1"/>
        <v>104988</v>
      </c>
      <c r="AG16" s="587">
        <f t="shared" si="2"/>
        <v>0</v>
      </c>
      <c r="AH16" s="587">
        <f t="shared" si="3"/>
        <v>4007906.9899999984</v>
      </c>
    </row>
    <row r="17" spans="1:34" ht="30.75" customHeight="1" x14ac:dyDescent="0.75">
      <c r="A17" s="408" t="s">
        <v>41</v>
      </c>
      <c r="B17" s="409">
        <f>'2014-2015'!AC17</f>
        <v>3845594.7900000005</v>
      </c>
      <c r="C17" s="410"/>
      <c r="D17" s="411">
        <f>2563.3+6413.58</f>
        <v>8976.880000000001</v>
      </c>
      <c r="E17" s="409">
        <v>1570260.86</v>
      </c>
      <c r="F17" s="409">
        <v>1027</v>
      </c>
      <c r="G17" s="409">
        <v>1651131.89</v>
      </c>
      <c r="H17" s="409">
        <f>2706704.23+376173.51+1287.9+91.5</f>
        <v>3084257.14</v>
      </c>
      <c r="I17" s="409">
        <v>1668333.15</v>
      </c>
      <c r="J17" s="409">
        <f>493251.34+58949.42+1073427.21</f>
        <v>1625627.97</v>
      </c>
      <c r="K17" s="409">
        <v>1587478.94</v>
      </c>
      <c r="L17" s="409">
        <f>484508.46+1044745.86+537</f>
        <v>1529791.32</v>
      </c>
      <c r="M17" s="409">
        <v>1592061.41</v>
      </c>
      <c r="N17" s="409">
        <f>1487226.82+278</f>
        <v>1487504.82</v>
      </c>
      <c r="O17" s="409">
        <v>1454921.54</v>
      </c>
      <c r="P17" s="409">
        <v>1538134.48</v>
      </c>
      <c r="Q17" s="409">
        <v>1472905.24</v>
      </c>
      <c r="R17" s="409">
        <f>348.5+1022973.86+371499.54</f>
        <v>1394821.9</v>
      </c>
      <c r="S17" s="409">
        <v>1372745.02</v>
      </c>
      <c r="T17" s="409">
        <f>1451830.32+64.5</f>
        <v>1451894.82</v>
      </c>
      <c r="U17" s="409">
        <v>1288200.74</v>
      </c>
      <c r="V17" s="409"/>
      <c r="W17" s="409">
        <v>1294061.8500000001</v>
      </c>
      <c r="X17" s="409">
        <f>499+1343815.67+1218924.72+300655.98</f>
        <v>2863895.3699999996</v>
      </c>
      <c r="Y17" s="409">
        <v>1425041.32</v>
      </c>
      <c r="Z17" s="409">
        <f>126356.17+950842.66+1305599.01</f>
        <v>2382797.84</v>
      </c>
      <c r="AA17" s="409">
        <v>932233.8</v>
      </c>
      <c r="AB17" s="409">
        <v>366439</v>
      </c>
      <c r="AC17" s="409">
        <f t="shared" si="0"/>
        <v>4152680.01</v>
      </c>
      <c r="AD17" s="582"/>
      <c r="AE17" s="419">
        <v>3845594.7900000005</v>
      </c>
      <c r="AF17" s="587">
        <f t="shared" si="1"/>
        <v>17675814.759999998</v>
      </c>
      <c r="AG17" s="587">
        <f t="shared" si="2"/>
        <v>17368729.539999999</v>
      </c>
      <c r="AH17" s="587">
        <f t="shared" si="3"/>
        <v>4152680.0099999979</v>
      </c>
    </row>
    <row r="18" spans="1:34" ht="30.75" customHeight="1" x14ac:dyDescent="0.75">
      <c r="A18" s="408" t="s">
        <v>26</v>
      </c>
      <c r="B18" s="409">
        <f>'2014-2015'!AC18</f>
        <v>12500621.18</v>
      </c>
      <c r="C18" s="410"/>
      <c r="D18" s="411">
        <v>8162349.3899999997</v>
      </c>
      <c r="E18" s="409">
        <v>4309138.4000000004</v>
      </c>
      <c r="F18" s="409">
        <v>4338271.79</v>
      </c>
      <c r="G18" s="409">
        <v>4122877.26</v>
      </c>
      <c r="H18" s="409">
        <v>0</v>
      </c>
      <c r="I18" s="409">
        <v>4259203.6399999997</v>
      </c>
      <c r="J18" s="409">
        <f>4309138.4</f>
        <v>4309138.4000000004</v>
      </c>
      <c r="K18" s="409">
        <v>4514657.04</v>
      </c>
      <c r="L18" s="409">
        <v>8382080.9000000004</v>
      </c>
      <c r="M18" s="409">
        <v>4609641.04</v>
      </c>
      <c r="N18" s="409">
        <v>4514657.04</v>
      </c>
      <c r="O18" s="409">
        <v>4354376.46</v>
      </c>
      <c r="P18" s="409"/>
      <c r="Q18" s="409">
        <v>5110024.18</v>
      </c>
      <c r="R18" s="409"/>
      <c r="S18" s="409">
        <v>5247452.41</v>
      </c>
      <c r="T18" s="409"/>
      <c r="U18" s="409">
        <v>4442825.88</v>
      </c>
      <c r="V18" s="409">
        <f>4609641.04+4354376.46</f>
        <v>8964017.5</v>
      </c>
      <c r="W18" s="409">
        <v>4195447.76</v>
      </c>
      <c r="X18" s="409">
        <v>5110024.18</v>
      </c>
      <c r="Y18" s="409">
        <v>4900736.24</v>
      </c>
      <c r="Z18" s="409">
        <f>5247452.41+9096184+4442825.88</f>
        <v>18786462.289999999</v>
      </c>
      <c r="AA18" s="409">
        <v>3619826.94</v>
      </c>
      <c r="AB18" s="409">
        <v>1292700.44</v>
      </c>
      <c r="AC18" s="409">
        <f t="shared" si="0"/>
        <v>4912527.3800000073</v>
      </c>
      <c r="AD18" s="582"/>
      <c r="AE18" s="419">
        <v>12500621.18</v>
      </c>
      <c r="AF18" s="587">
        <f t="shared" si="1"/>
        <v>54978907.689999998</v>
      </c>
      <c r="AG18" s="587">
        <f t="shared" si="2"/>
        <v>62567001.489999995</v>
      </c>
      <c r="AH18" s="587">
        <f t="shared" si="3"/>
        <v>4912527.3800000101</v>
      </c>
    </row>
    <row r="19" spans="1:34" ht="30.75" customHeight="1" x14ac:dyDescent="0.75">
      <c r="A19" s="408" t="s">
        <v>36</v>
      </c>
      <c r="B19" s="409">
        <f>'2014-2015'!AC19</f>
        <v>11581118.479999999</v>
      </c>
      <c r="C19" s="410"/>
      <c r="D19" s="411">
        <f>1040657.82+4242251.56</f>
        <v>5282909.38</v>
      </c>
      <c r="E19" s="409">
        <v>843781.86</v>
      </c>
      <c r="F19" s="409">
        <v>843781.86</v>
      </c>
      <c r="G19" s="409">
        <v>940048.08</v>
      </c>
      <c r="H19" s="409"/>
      <c r="I19" s="409">
        <v>1018249.31</v>
      </c>
      <c r="J19" s="409">
        <f>6249144.41+72888.5+1018249.31</f>
        <v>7340282.2200000007</v>
      </c>
      <c r="K19" s="409">
        <v>1000915.37</v>
      </c>
      <c r="L19" s="409">
        <v>969299.66</v>
      </c>
      <c r="M19" s="409">
        <v>1075771.58</v>
      </c>
      <c r="N19" s="409"/>
      <c r="O19" s="409">
        <v>1039970.79</v>
      </c>
      <c r="P19" s="409"/>
      <c r="Q19" s="409">
        <v>1517649.16</v>
      </c>
      <c r="R19" s="409"/>
      <c r="S19" s="409">
        <v>1073568.56</v>
      </c>
      <c r="T19" s="409">
        <v>564566.46</v>
      </c>
      <c r="U19" s="409">
        <v>991702.54</v>
      </c>
      <c r="V19" s="409">
        <f>1919456.93</f>
        <v>1919456.93</v>
      </c>
      <c r="W19" s="409">
        <v>970888.21</v>
      </c>
      <c r="X19" s="409">
        <f>991702.54</f>
        <v>991702.54</v>
      </c>
      <c r="Y19" s="409">
        <v>1001134.3</v>
      </c>
      <c r="Z19" s="409">
        <v>2718420.58</v>
      </c>
      <c r="AA19" s="409">
        <v>1026735.39</v>
      </c>
      <c r="AB19" s="409">
        <v>421727.31</v>
      </c>
      <c r="AC19" s="409">
        <f t="shared" si="0"/>
        <v>3872841.3099999987</v>
      </c>
      <c r="AD19" s="582"/>
      <c r="AE19" s="419">
        <v>11581118.479999999</v>
      </c>
      <c r="AF19" s="587">
        <f t="shared" si="1"/>
        <v>12922142.460000003</v>
      </c>
      <c r="AG19" s="587">
        <f t="shared" si="2"/>
        <v>20630419.630000003</v>
      </c>
      <c r="AH19" s="587">
        <f t="shared" si="3"/>
        <v>3872841.3099999987</v>
      </c>
    </row>
    <row r="20" spans="1:34" ht="30.75" customHeight="1" x14ac:dyDescent="0.75">
      <c r="A20" s="408" t="s">
        <v>23</v>
      </c>
      <c r="B20" s="409">
        <f>'2014-2015'!AC20+681053.32</f>
        <v>3407516.9800000046</v>
      </c>
      <c r="C20" s="410"/>
      <c r="D20" s="411">
        <v>4654420.5</v>
      </c>
      <c r="E20" s="409">
        <v>2206299.89</v>
      </c>
      <c r="F20" s="409"/>
      <c r="G20" s="409">
        <v>1459850.99</v>
      </c>
      <c r="H20" s="409">
        <v>2878768.76</v>
      </c>
      <c r="I20" s="409">
        <v>1127564.02</v>
      </c>
      <c r="J20" s="409"/>
      <c r="K20" s="409">
        <v>1460537.64</v>
      </c>
      <c r="L20" s="409">
        <v>1090918.8</v>
      </c>
      <c r="M20" s="409">
        <v>1402999.8</v>
      </c>
      <c r="N20" s="409">
        <v>1093568.6299999999</v>
      </c>
      <c r="O20" s="409">
        <v>1456960.9</v>
      </c>
      <c r="P20" s="409">
        <v>1069063.6799999999</v>
      </c>
      <c r="Q20" s="409">
        <v>1430995.9</v>
      </c>
      <c r="R20" s="409">
        <f>1176287.24+1170515.35</f>
        <v>2346802.59</v>
      </c>
      <c r="S20" s="409">
        <v>2135007.58</v>
      </c>
      <c r="T20" s="409"/>
      <c r="U20" s="409">
        <v>2259390.69</v>
      </c>
      <c r="V20" s="409">
        <v>1281008.22</v>
      </c>
      <c r="W20" s="409">
        <v>1707671.27</v>
      </c>
      <c r="X20" s="409">
        <f>2131267.94+1501413.31</f>
        <v>3632681.25</v>
      </c>
      <c r="Y20" s="409">
        <v>1967727.39</v>
      </c>
      <c r="Z20" s="409">
        <v>1907613.47</v>
      </c>
      <c r="AA20" s="409">
        <v>1760427.35</v>
      </c>
      <c r="AB20" s="409">
        <v>659270.19999999995</v>
      </c>
      <c r="AC20" s="409">
        <f t="shared" si="0"/>
        <v>4487374.7000000058</v>
      </c>
      <c r="AD20" s="582"/>
      <c r="AE20" s="419">
        <v>3407516.9800000046</v>
      </c>
      <c r="AF20" s="587">
        <f t="shared" si="1"/>
        <v>21034703.620000001</v>
      </c>
      <c r="AG20" s="587">
        <f t="shared" si="2"/>
        <v>19954845.899999999</v>
      </c>
      <c r="AH20" s="587">
        <f t="shared" si="3"/>
        <v>4487374.7000000067</v>
      </c>
    </row>
    <row r="21" spans="1:34" ht="30.75" customHeight="1" x14ac:dyDescent="0.75">
      <c r="A21" s="408" t="s">
        <v>21</v>
      </c>
      <c r="B21" s="409">
        <f>'2014-2015'!AC21</f>
        <v>19666060.439999998</v>
      </c>
      <c r="C21" s="410"/>
      <c r="D21" s="411">
        <v>2759663.37</v>
      </c>
      <c r="E21" s="409">
        <v>3758218.6</v>
      </c>
      <c r="F21" s="409">
        <v>2581664.33</v>
      </c>
      <c r="G21" s="409">
        <v>3309084.63</v>
      </c>
      <c r="H21" s="409">
        <v>4122996.1</v>
      </c>
      <c r="I21" s="409">
        <v>2202971.88</v>
      </c>
      <c r="J21" s="409">
        <v>5108100.7300000004</v>
      </c>
      <c r="K21" s="409">
        <v>3183992.88</v>
      </c>
      <c r="L21" s="409">
        <v>9698875.5299999993</v>
      </c>
      <c r="M21" s="409">
        <v>3125218.7</v>
      </c>
      <c r="N21" s="409">
        <v>2258307.17</v>
      </c>
      <c r="O21" s="409">
        <v>2991514.68</v>
      </c>
      <c r="P21" s="409"/>
      <c r="Q21" s="409">
        <v>3073276.24</v>
      </c>
      <c r="R21" s="409"/>
      <c r="S21" s="409">
        <v>2884777.17</v>
      </c>
      <c r="T21" s="409">
        <f>3171790.24+3112738.54</f>
        <v>6284528.7800000003</v>
      </c>
      <c r="U21" s="409">
        <v>2845864.31</v>
      </c>
      <c r="V21" s="409">
        <v>2991514.68</v>
      </c>
      <c r="W21" s="409">
        <v>2702128.02</v>
      </c>
      <c r="X21" s="409">
        <v>3073276.33</v>
      </c>
      <c r="Y21" s="409">
        <v>2981130.27</v>
      </c>
      <c r="Z21" s="409">
        <v>2839146.14</v>
      </c>
      <c r="AA21" s="409">
        <v>1857421.41</v>
      </c>
      <c r="AB21" s="409">
        <v>1017064.94</v>
      </c>
      <c r="AC21" s="409">
        <f t="shared" si="0"/>
        <v>13880651.009999992</v>
      </c>
      <c r="AD21" s="582"/>
      <c r="AE21" s="419">
        <v>19666060.439999998</v>
      </c>
      <c r="AF21" s="587">
        <f t="shared" si="1"/>
        <v>35932663.729999997</v>
      </c>
      <c r="AG21" s="587">
        <f t="shared" si="2"/>
        <v>41718073.160000004</v>
      </c>
      <c r="AH21" s="587">
        <f t="shared" si="3"/>
        <v>13880651.00999999</v>
      </c>
    </row>
    <row r="22" spans="1:34" ht="30.75" customHeight="1" x14ac:dyDescent="0.75">
      <c r="A22" s="408" t="s">
        <v>185</v>
      </c>
      <c r="B22" s="409">
        <v>1140890.54</v>
      </c>
      <c r="C22" s="410"/>
      <c r="D22" s="411">
        <f>1307.5</f>
        <v>1307.5</v>
      </c>
      <c r="E22" s="409">
        <v>628315.82999999996</v>
      </c>
      <c r="F22" s="409">
        <v>651176.5</v>
      </c>
      <c r="G22" s="409">
        <v>675637.41</v>
      </c>
      <c r="H22" s="409">
        <v>628315.82999999996</v>
      </c>
      <c r="I22" s="409">
        <v>652901.41</v>
      </c>
      <c r="J22" s="409">
        <v>675637.41</v>
      </c>
      <c r="K22" s="409">
        <v>604419.05000000005</v>
      </c>
      <c r="L22" s="409">
        <v>652901.41</v>
      </c>
      <c r="M22" s="409">
        <v>660258.26</v>
      </c>
      <c r="N22" s="409">
        <f>3877+600536.56</f>
        <v>604413.56000000006</v>
      </c>
      <c r="O22" s="409">
        <v>648018.91</v>
      </c>
      <c r="P22" s="409">
        <v>660258.26</v>
      </c>
      <c r="Q22" s="409">
        <v>650272.88</v>
      </c>
      <c r="R22" s="409">
        <v>648018.91</v>
      </c>
      <c r="S22" s="409">
        <v>652127.06000000006</v>
      </c>
      <c r="T22" s="409">
        <v>621716.44999999995</v>
      </c>
      <c r="U22" s="409">
        <v>597369.43999999994</v>
      </c>
      <c r="V22" s="409">
        <v>652127.06000000006</v>
      </c>
      <c r="W22" s="409">
        <v>594645.68999999994</v>
      </c>
      <c r="X22" s="409">
        <f>28558.43+597468.44</f>
        <v>626026.87</v>
      </c>
      <c r="Y22" s="409">
        <v>694386.42</v>
      </c>
      <c r="Z22" s="409">
        <v>594645.68999999994</v>
      </c>
      <c r="AA22" s="409">
        <v>442486.18</v>
      </c>
      <c r="AB22" s="409">
        <v>258315.51999999999</v>
      </c>
      <c r="AC22" s="409">
        <f t="shared" si="0"/>
        <v>1883499.1500000001</v>
      </c>
      <c r="AD22" s="582"/>
      <c r="AE22" s="419">
        <v>1140890.54</v>
      </c>
      <c r="AF22" s="587">
        <f t="shared" si="1"/>
        <v>7759154.0599999987</v>
      </c>
      <c r="AG22" s="587">
        <f t="shared" si="2"/>
        <v>7016545.4500000011</v>
      </c>
      <c r="AH22" s="587">
        <f t="shared" si="3"/>
        <v>1883499.1499999966</v>
      </c>
    </row>
    <row r="23" spans="1:34" ht="30.75" customHeight="1" x14ac:dyDescent="0.75">
      <c r="A23" s="408" t="s">
        <v>89</v>
      </c>
      <c r="B23" s="409">
        <f>'2014-2015'!AC23</f>
        <v>1859467.22</v>
      </c>
      <c r="C23" s="410"/>
      <c r="D23" s="411">
        <v>0</v>
      </c>
      <c r="E23" s="409">
        <v>37800</v>
      </c>
      <c r="F23" s="409"/>
      <c r="G23" s="409">
        <v>37800</v>
      </c>
      <c r="H23" s="409"/>
      <c r="I23" s="409">
        <v>37800</v>
      </c>
      <c r="J23" s="409"/>
      <c r="K23" s="409">
        <v>37800</v>
      </c>
      <c r="L23" s="409"/>
      <c r="M23" s="409">
        <v>37800</v>
      </c>
      <c r="N23" s="409"/>
      <c r="O23" s="409">
        <v>15450</v>
      </c>
      <c r="P23" s="409"/>
      <c r="Q23" s="409">
        <v>0</v>
      </c>
      <c r="R23" s="409"/>
      <c r="S23" s="409">
        <v>0</v>
      </c>
      <c r="T23" s="409"/>
      <c r="U23" s="409">
        <v>0</v>
      </c>
      <c r="V23" s="409"/>
      <c r="W23" s="409">
        <v>0</v>
      </c>
      <c r="X23" s="409"/>
      <c r="Y23" s="409">
        <v>0</v>
      </c>
      <c r="Z23" s="409"/>
      <c r="AA23" s="409">
        <v>0</v>
      </c>
      <c r="AB23" s="409">
        <v>0</v>
      </c>
      <c r="AC23" s="409">
        <f t="shared" si="0"/>
        <v>2063917.22</v>
      </c>
      <c r="AD23" s="582"/>
      <c r="AE23" s="419">
        <v>1859467.22</v>
      </c>
      <c r="AF23" s="587">
        <f t="shared" si="1"/>
        <v>204450</v>
      </c>
      <c r="AG23" s="587">
        <f t="shared" si="2"/>
        <v>0</v>
      </c>
      <c r="AH23" s="587">
        <f t="shared" si="3"/>
        <v>2063917.22</v>
      </c>
    </row>
    <row r="24" spans="1:34" ht="30.75" customHeight="1" x14ac:dyDescent="0.75">
      <c r="A24" s="408" t="s">
        <v>308</v>
      </c>
      <c r="B24" s="409">
        <f>'2014-2015'!AC24</f>
        <v>1119004.7999999998</v>
      </c>
      <c r="C24" s="410"/>
      <c r="D24" s="411">
        <v>430907.03</v>
      </c>
      <c r="E24" s="409">
        <v>486343.45</v>
      </c>
      <c r="F24" s="409"/>
      <c r="G24" s="409">
        <v>597776.34</v>
      </c>
      <c r="H24" s="409"/>
      <c r="I24" s="409">
        <v>607064.06000000006</v>
      </c>
      <c r="J24" s="409"/>
      <c r="K24" s="409">
        <v>668576.30000000005</v>
      </c>
      <c r="L24" s="409"/>
      <c r="M24" s="409">
        <v>717513.56</v>
      </c>
      <c r="N24" s="409">
        <f>1873416.7+1002018.36</f>
        <v>2875435.06</v>
      </c>
      <c r="O24" s="409">
        <v>702486.1</v>
      </c>
      <c r="P24" s="409"/>
      <c r="Q24" s="409">
        <v>687594.27</v>
      </c>
      <c r="R24" s="409">
        <f>717513.56+702486.1</f>
        <v>1419999.6600000001</v>
      </c>
      <c r="S24" s="409">
        <v>691405.35</v>
      </c>
      <c r="T24" s="409">
        <v>687594.27</v>
      </c>
      <c r="U24" s="409">
        <v>703084.26</v>
      </c>
      <c r="V24" s="409"/>
      <c r="W24" s="409">
        <v>726282.42</v>
      </c>
      <c r="X24" s="409">
        <v>691405.35</v>
      </c>
      <c r="Y24" s="409">
        <v>727171.53</v>
      </c>
      <c r="Z24" s="409"/>
      <c r="AA24" s="409">
        <v>560569</v>
      </c>
      <c r="AB24" s="409">
        <v>114800.65</v>
      </c>
      <c r="AC24" s="409">
        <f t="shared" si="0"/>
        <v>3004330.72</v>
      </c>
      <c r="AD24" s="582"/>
      <c r="AE24" s="419">
        <v>1119004.7999999998</v>
      </c>
      <c r="AF24" s="587">
        <f t="shared" si="1"/>
        <v>7990667.29</v>
      </c>
      <c r="AG24" s="587">
        <f t="shared" si="2"/>
        <v>6105341.3699999992</v>
      </c>
      <c r="AH24" s="587">
        <f t="shared" si="3"/>
        <v>3004330.7200000007</v>
      </c>
    </row>
    <row r="25" spans="1:34" ht="30.75" customHeight="1" x14ac:dyDescent="0.75">
      <c r="A25" s="408" t="s">
        <v>196</v>
      </c>
      <c r="B25" s="409">
        <f>'2014-2015'!AC25</f>
        <v>2119917.77</v>
      </c>
      <c r="C25" s="410"/>
      <c r="D25" s="411">
        <v>0</v>
      </c>
      <c r="E25" s="409">
        <v>0</v>
      </c>
      <c r="F25" s="409"/>
      <c r="G25" s="409">
        <v>5953</v>
      </c>
      <c r="H25" s="409"/>
      <c r="I25" s="409">
        <v>0</v>
      </c>
      <c r="J25" s="409"/>
      <c r="K25" s="409">
        <v>0</v>
      </c>
      <c r="L25" s="409"/>
      <c r="M25" s="409">
        <v>0</v>
      </c>
      <c r="N25" s="409"/>
      <c r="O25" s="409">
        <v>0</v>
      </c>
      <c r="P25" s="409"/>
      <c r="Q25" s="409">
        <v>0</v>
      </c>
      <c r="R25" s="409"/>
      <c r="S25" s="409">
        <v>0</v>
      </c>
      <c r="T25" s="409"/>
      <c r="U25" s="409">
        <v>0</v>
      </c>
      <c r="V25" s="409"/>
      <c r="W25" s="409">
        <v>0</v>
      </c>
      <c r="X25" s="409"/>
      <c r="Y25" s="409">
        <v>0</v>
      </c>
      <c r="Z25" s="409"/>
      <c r="AA25" s="409">
        <v>0</v>
      </c>
      <c r="AB25" s="409">
        <v>0</v>
      </c>
      <c r="AC25" s="409">
        <f t="shared" si="0"/>
        <v>2125870.77</v>
      </c>
      <c r="AD25" s="582"/>
      <c r="AE25" s="419">
        <v>2119917.77</v>
      </c>
      <c r="AF25" s="587">
        <f t="shared" si="1"/>
        <v>5953</v>
      </c>
      <c r="AG25" s="587">
        <f t="shared" si="2"/>
        <v>0</v>
      </c>
      <c r="AH25" s="587">
        <f t="shared" si="3"/>
        <v>2125870.77</v>
      </c>
    </row>
    <row r="26" spans="1:34" ht="30.75" customHeight="1" x14ac:dyDescent="0.75">
      <c r="A26" s="408" t="s">
        <v>85</v>
      </c>
      <c r="B26" s="409">
        <f>'2014-2015'!AC26</f>
        <v>2127121.1100000003</v>
      </c>
      <c r="C26" s="410"/>
      <c r="D26" s="411">
        <v>0</v>
      </c>
      <c r="E26" s="409">
        <v>39083.1</v>
      </c>
      <c r="F26" s="409"/>
      <c r="G26" s="409">
        <v>39486.97</v>
      </c>
      <c r="H26" s="409"/>
      <c r="I26" s="409">
        <v>39083.1</v>
      </c>
      <c r="J26" s="409"/>
      <c r="K26" s="409">
        <v>49311.37</v>
      </c>
      <c r="L26" s="409"/>
      <c r="M26" s="409">
        <v>54287.31</v>
      </c>
      <c r="N26" s="409"/>
      <c r="O26" s="409">
        <v>46047.97</v>
      </c>
      <c r="P26" s="409"/>
      <c r="Q26" s="409">
        <v>42815.17</v>
      </c>
      <c r="R26" s="409"/>
      <c r="S26" s="409">
        <v>42891.4</v>
      </c>
      <c r="T26" s="409"/>
      <c r="U26" s="409">
        <v>26967</v>
      </c>
      <c r="V26" s="409"/>
      <c r="W26" s="409">
        <v>17112.740000000002</v>
      </c>
      <c r="X26" s="409"/>
      <c r="Y26" s="409">
        <v>16305</v>
      </c>
      <c r="Z26" s="409"/>
      <c r="AA26" s="409">
        <v>16305</v>
      </c>
      <c r="AB26" s="409">
        <v>0</v>
      </c>
      <c r="AC26" s="409">
        <f t="shared" si="0"/>
        <v>2556817.2400000012</v>
      </c>
      <c r="AD26" s="582"/>
      <c r="AE26" s="419">
        <v>2127121.1100000003</v>
      </c>
      <c r="AF26" s="587">
        <f t="shared" si="1"/>
        <v>429696.13</v>
      </c>
      <c r="AG26" s="587">
        <f t="shared" si="2"/>
        <v>0</v>
      </c>
      <c r="AH26" s="587">
        <f t="shared" si="3"/>
        <v>2556817.2400000002</v>
      </c>
    </row>
    <row r="27" spans="1:34" ht="30.75" customHeight="1" x14ac:dyDescent="0.75">
      <c r="A27" s="408" t="s">
        <v>37</v>
      </c>
      <c r="B27" s="409">
        <f>'2014-2015'!AC27</f>
        <v>1112212.1600000006</v>
      </c>
      <c r="C27" s="410"/>
      <c r="D27" s="411">
        <v>0</v>
      </c>
      <c r="E27" s="409">
        <v>699804.58</v>
      </c>
      <c r="F27" s="409">
        <v>469099.38</v>
      </c>
      <c r="G27" s="409">
        <v>781842.76</v>
      </c>
      <c r="H27" s="409"/>
      <c r="I27" s="409">
        <v>760119.06</v>
      </c>
      <c r="J27" s="409"/>
      <c r="K27" s="409">
        <v>872295.15</v>
      </c>
      <c r="L27" s="409">
        <f>258312.22+699804.58</f>
        <v>958116.79999999993</v>
      </c>
      <c r="M27" s="409">
        <v>863254.32</v>
      </c>
      <c r="N27" s="409">
        <f>781842.76+760119.06</f>
        <v>1541961.82</v>
      </c>
      <c r="O27" s="409">
        <v>861788.43</v>
      </c>
      <c r="P27" s="409">
        <f>872295.16</f>
        <v>872295.16</v>
      </c>
      <c r="Q27" s="409">
        <v>910687.87</v>
      </c>
      <c r="R27" s="409">
        <f>863254.32</f>
        <v>863254.32</v>
      </c>
      <c r="S27" s="409">
        <v>948194.24</v>
      </c>
      <c r="T27" s="409"/>
      <c r="U27" s="409">
        <v>862629.81</v>
      </c>
      <c r="V27" s="409"/>
      <c r="W27" s="409">
        <v>799177.2</v>
      </c>
      <c r="X27" s="409">
        <f>861788.43</f>
        <v>861788.43</v>
      </c>
      <c r="Y27" s="409">
        <v>857830.33</v>
      </c>
      <c r="Z27" s="409"/>
      <c r="AA27" s="409">
        <v>505458.92</v>
      </c>
      <c r="AB27" s="409">
        <v>328781.27</v>
      </c>
      <c r="AC27" s="409">
        <f t="shared" si="0"/>
        <v>5597560.1900000013</v>
      </c>
      <c r="AD27" s="582"/>
      <c r="AE27" s="419">
        <v>1112212.1600000006</v>
      </c>
      <c r="AF27" s="587">
        <f t="shared" si="1"/>
        <v>10051863.939999999</v>
      </c>
      <c r="AG27" s="587">
        <f t="shared" si="2"/>
        <v>5566515.9100000001</v>
      </c>
      <c r="AH27" s="587">
        <f t="shared" si="3"/>
        <v>5597560.1899999995</v>
      </c>
    </row>
    <row r="28" spans="1:34" ht="30.75" customHeight="1" x14ac:dyDescent="0.75">
      <c r="A28" s="408" t="s">
        <v>28</v>
      </c>
      <c r="B28" s="409">
        <f>'2014-2015'!AC28</f>
        <v>2026895.9300000006</v>
      </c>
      <c r="C28" s="410">
        <v>0</v>
      </c>
      <c r="D28" s="411">
        <v>0</v>
      </c>
      <c r="E28" s="409">
        <v>807872.11</v>
      </c>
      <c r="F28" s="409"/>
      <c r="G28" s="409">
        <v>237119.03</v>
      </c>
      <c r="H28" s="409"/>
      <c r="I28" s="409">
        <v>-40349.11</v>
      </c>
      <c r="J28" s="409"/>
      <c r="K28" s="409">
        <v>296525.59999999998</v>
      </c>
      <c r="L28" s="409"/>
      <c r="M28" s="409">
        <v>395318.67</v>
      </c>
      <c r="N28" s="409"/>
      <c r="O28" s="409">
        <v>332315.03000000003</v>
      </c>
      <c r="P28" s="409">
        <f>831405.55</f>
        <v>831405.55</v>
      </c>
      <c r="Q28" s="409">
        <v>204468.74</v>
      </c>
      <c r="R28" s="409">
        <f>160761.8</f>
        <v>160761.79999999999</v>
      </c>
      <c r="S28" s="409">
        <v>664484.61</v>
      </c>
      <c r="T28" s="409">
        <v>40349.11</v>
      </c>
      <c r="U28" s="409">
        <v>143089.19</v>
      </c>
      <c r="V28" s="409"/>
      <c r="W28" s="409">
        <v>140143.14000000001</v>
      </c>
      <c r="X28" s="409"/>
      <c r="Y28" s="409">
        <v>166693.38</v>
      </c>
      <c r="Z28" s="409">
        <v>501614.33</v>
      </c>
      <c r="AA28" s="409">
        <v>107442.17</v>
      </c>
      <c r="AB28" s="409">
        <v>94017.99</v>
      </c>
      <c r="AC28" s="409">
        <f t="shared" si="0"/>
        <v>4041905.6900000013</v>
      </c>
      <c r="AD28" s="582"/>
      <c r="AE28" s="419">
        <v>2026895.9300000006</v>
      </c>
      <c r="AF28" s="587">
        <f t="shared" si="1"/>
        <v>3549140.55</v>
      </c>
      <c r="AG28" s="587">
        <f t="shared" si="2"/>
        <v>1534130.79</v>
      </c>
      <c r="AH28" s="587">
        <f t="shared" si="3"/>
        <v>4041905.6900000004</v>
      </c>
    </row>
    <row r="29" spans="1:34" ht="30.75" customHeight="1" x14ac:dyDescent="0.75">
      <c r="A29" s="408" t="s">
        <v>91</v>
      </c>
      <c r="B29" s="409">
        <f>'2014-2015'!AC29</f>
        <v>1272524.5900000003</v>
      </c>
      <c r="C29" s="410"/>
      <c r="D29" s="411">
        <v>0</v>
      </c>
      <c r="E29" s="409">
        <v>0</v>
      </c>
      <c r="F29" s="409"/>
      <c r="G29" s="409">
        <v>0</v>
      </c>
      <c r="H29" s="409"/>
      <c r="I29" s="409">
        <v>0</v>
      </c>
      <c r="J29" s="409"/>
      <c r="K29" s="409">
        <v>0</v>
      </c>
      <c r="L29" s="409"/>
      <c r="M29" s="409">
        <v>0</v>
      </c>
      <c r="N29" s="409"/>
      <c r="O29" s="409">
        <v>0</v>
      </c>
      <c r="P29" s="409"/>
      <c r="Q29" s="409">
        <v>0</v>
      </c>
      <c r="R29" s="409"/>
      <c r="S29" s="409">
        <v>0</v>
      </c>
      <c r="T29" s="409"/>
      <c r="U29" s="409">
        <v>0</v>
      </c>
      <c r="V29" s="409"/>
      <c r="W29" s="409">
        <v>0</v>
      </c>
      <c r="X29" s="409"/>
      <c r="Y29" s="409">
        <v>0</v>
      </c>
      <c r="Z29" s="409"/>
      <c r="AA29" s="409">
        <v>0</v>
      </c>
      <c r="AB29" s="409">
        <v>0</v>
      </c>
      <c r="AC29" s="409">
        <f t="shared" si="0"/>
        <v>1272524.5900000003</v>
      </c>
      <c r="AD29" s="582"/>
      <c r="AE29" s="419">
        <v>1272524.5900000003</v>
      </c>
      <c r="AF29" s="587">
        <f t="shared" si="1"/>
        <v>0</v>
      </c>
      <c r="AG29" s="587">
        <f t="shared" si="2"/>
        <v>0</v>
      </c>
      <c r="AH29" s="587">
        <f t="shared" si="3"/>
        <v>1272524.5900000003</v>
      </c>
    </row>
    <row r="30" spans="1:34" ht="30.75" customHeight="1" x14ac:dyDescent="0.75">
      <c r="A30" s="408" t="s">
        <v>57</v>
      </c>
      <c r="B30" s="409">
        <f>'2014-2015'!AC30</f>
        <v>966404.6</v>
      </c>
      <c r="C30" s="410"/>
      <c r="D30" s="411">
        <v>483553.49</v>
      </c>
      <c r="E30" s="409">
        <v>697640.89</v>
      </c>
      <c r="F30" s="409">
        <v>171396.17</v>
      </c>
      <c r="G30" s="409">
        <v>820921.54</v>
      </c>
      <c r="H30" s="409">
        <v>697640.89</v>
      </c>
      <c r="I30" s="409">
        <v>807577.1</v>
      </c>
      <c r="J30" s="409">
        <f>820921.54+807577.1</f>
        <v>1628498.6400000001</v>
      </c>
      <c r="K30" s="409">
        <v>785062.45</v>
      </c>
      <c r="L30" s="409"/>
      <c r="M30" s="409">
        <v>895165.27</v>
      </c>
      <c r="N30" s="409">
        <f>783383.97+894415.27</f>
        <v>1677799.24</v>
      </c>
      <c r="O30" s="409">
        <v>814590.27</v>
      </c>
      <c r="P30" s="409"/>
      <c r="Q30" s="409">
        <v>920032</v>
      </c>
      <c r="R30" s="409">
        <f>814590.27+920032</f>
        <v>1734622.27</v>
      </c>
      <c r="S30" s="409">
        <v>909369.45</v>
      </c>
      <c r="T30" s="409"/>
      <c r="U30" s="409">
        <v>881799.81</v>
      </c>
      <c r="V30" s="409">
        <f>909369.45+881799.81</f>
        <v>1791169.26</v>
      </c>
      <c r="W30" s="409">
        <v>814196.94</v>
      </c>
      <c r="X30" s="409">
        <v>814196.94</v>
      </c>
      <c r="Y30" s="409">
        <v>922935.56</v>
      </c>
      <c r="Z30" s="409">
        <v>922935.56</v>
      </c>
      <c r="AA30" s="409">
        <v>946441.34</v>
      </c>
      <c r="AB30" s="409">
        <v>210700.57</v>
      </c>
      <c r="AC30" s="409">
        <f t="shared" si="0"/>
        <v>1471025.3299999998</v>
      </c>
      <c r="AD30" s="582"/>
      <c r="AE30" s="419">
        <v>966404.6</v>
      </c>
      <c r="AF30" s="587">
        <f t="shared" si="1"/>
        <v>10426433.190000001</v>
      </c>
      <c r="AG30" s="587">
        <f t="shared" si="2"/>
        <v>9921812.4600000009</v>
      </c>
      <c r="AH30" s="587">
        <f t="shared" si="3"/>
        <v>1471025.33</v>
      </c>
    </row>
    <row r="31" spans="1:34" ht="30.75" customHeight="1" x14ac:dyDescent="0.75">
      <c r="A31" s="408" t="s">
        <v>53</v>
      </c>
      <c r="B31" s="409">
        <f>'2014-2015'!AC31</f>
        <v>1949182.2299999991</v>
      </c>
      <c r="C31" s="410"/>
      <c r="D31" s="411">
        <v>0</v>
      </c>
      <c r="E31" s="409">
        <v>59992.27</v>
      </c>
      <c r="F31" s="409"/>
      <c r="G31" s="409">
        <v>31864.46</v>
      </c>
      <c r="H31" s="409"/>
      <c r="I31" s="409">
        <v>27980.47</v>
      </c>
      <c r="J31" s="409"/>
      <c r="K31" s="409">
        <v>27851</v>
      </c>
      <c r="L31" s="409"/>
      <c r="M31" s="409">
        <v>27851</v>
      </c>
      <c r="N31" s="409"/>
      <c r="O31" s="409">
        <v>14395</v>
      </c>
      <c r="P31" s="409"/>
      <c r="Q31" s="409">
        <v>14395</v>
      </c>
      <c r="R31" s="409"/>
      <c r="S31" s="409">
        <v>14395</v>
      </c>
      <c r="T31" s="409"/>
      <c r="U31" s="409">
        <v>14395</v>
      </c>
      <c r="V31" s="409"/>
      <c r="W31" s="409">
        <v>14395</v>
      </c>
      <c r="X31" s="409"/>
      <c r="Y31" s="409">
        <v>14395</v>
      </c>
      <c r="Z31" s="409"/>
      <c r="AA31" s="409">
        <v>14395</v>
      </c>
      <c r="AB31" s="409">
        <v>0</v>
      </c>
      <c r="AC31" s="409">
        <f t="shared" si="0"/>
        <v>2225486.4299999988</v>
      </c>
      <c r="AD31" s="582"/>
      <c r="AE31" s="419">
        <v>1949182.2299999991</v>
      </c>
      <c r="AF31" s="587">
        <f t="shared" si="1"/>
        <v>276304.2</v>
      </c>
      <c r="AG31" s="587">
        <f t="shared" si="2"/>
        <v>0</v>
      </c>
      <c r="AH31" s="587">
        <f t="shared" si="3"/>
        <v>2225486.4299999992</v>
      </c>
    </row>
    <row r="32" spans="1:34" ht="30.75" customHeight="1" x14ac:dyDescent="0.75">
      <c r="A32" s="408" t="s">
        <v>65</v>
      </c>
      <c r="B32" s="409">
        <f>'2014-2015'!AC32</f>
        <v>1254872.69</v>
      </c>
      <c r="C32" s="410"/>
      <c r="D32" s="411">
        <f>190911.72+137344.99</f>
        <v>328256.70999999996</v>
      </c>
      <c r="E32" s="409">
        <v>75248.5</v>
      </c>
      <c r="F32" s="409">
        <v>16605.91</v>
      </c>
      <c r="G32" s="409">
        <v>73994.289999999994</v>
      </c>
      <c r="H32" s="409">
        <v>75248.5</v>
      </c>
      <c r="I32" s="409">
        <v>123949.31</v>
      </c>
      <c r="J32" s="409">
        <f>73994.29+123949.31</f>
        <v>197943.59999999998</v>
      </c>
      <c r="K32" s="409">
        <v>73509.679999999993</v>
      </c>
      <c r="L32" s="409"/>
      <c r="M32" s="409">
        <v>84950.77</v>
      </c>
      <c r="N32" s="409">
        <v>73509.679999999993</v>
      </c>
      <c r="O32" s="409">
        <v>85512.6</v>
      </c>
      <c r="P32" s="409"/>
      <c r="Q32" s="409">
        <v>73561.539999999994</v>
      </c>
      <c r="R32" s="409">
        <v>169883.89</v>
      </c>
      <c r="S32" s="409">
        <v>99412.33</v>
      </c>
      <c r="T32" s="409">
        <v>73561.539999999994</v>
      </c>
      <c r="U32" s="409">
        <v>79206.740000000005</v>
      </c>
      <c r="V32" s="409">
        <v>99412.33</v>
      </c>
      <c r="W32" s="409">
        <v>57316.480000000003</v>
      </c>
      <c r="X32" s="409">
        <f>79206.74+57316.48</f>
        <v>136523.22</v>
      </c>
      <c r="Y32" s="409">
        <v>66771.259999999995</v>
      </c>
      <c r="Z32" s="409">
        <v>66771.259999999995</v>
      </c>
      <c r="AA32" s="409">
        <v>54159.91</v>
      </c>
      <c r="AB32" s="409">
        <v>10341.82</v>
      </c>
      <c r="AC32" s="409">
        <f t="shared" si="0"/>
        <v>975091.28000000014</v>
      </c>
      <c r="AD32" s="582"/>
      <c r="AE32" s="419">
        <v>1254872.69</v>
      </c>
      <c r="AF32" s="587">
        <f t="shared" si="1"/>
        <v>957935.23</v>
      </c>
      <c r="AG32" s="587">
        <f t="shared" si="2"/>
        <v>1237716.6399999999</v>
      </c>
      <c r="AH32" s="587">
        <f t="shared" si="3"/>
        <v>975091.28</v>
      </c>
    </row>
    <row r="33" spans="1:34" ht="30.75" customHeight="1" x14ac:dyDescent="0.75">
      <c r="A33" s="408" t="s">
        <v>335</v>
      </c>
      <c r="B33" s="409">
        <f>'2014-2015'!AC33</f>
        <v>1423676.9100000008</v>
      </c>
      <c r="C33" s="410"/>
      <c r="D33" s="411">
        <f>585404.71+475970.38</f>
        <v>1061375.0899999999</v>
      </c>
      <c r="E33" s="409">
        <v>1314681.28</v>
      </c>
      <c r="F33" s="409">
        <f>991555.26+6253.9</f>
        <v>997809.16</v>
      </c>
      <c r="G33" s="409">
        <v>992630.75</v>
      </c>
      <c r="H33" s="409">
        <f>323126.02+992630.75</f>
        <v>1315756.77</v>
      </c>
      <c r="I33" s="409">
        <v>796749.87</v>
      </c>
      <c r="J33" s="409">
        <v>0</v>
      </c>
      <c r="K33" s="409">
        <v>1120794.71</v>
      </c>
      <c r="L33" s="409">
        <v>796749.87</v>
      </c>
      <c r="M33" s="409">
        <v>991924.88</v>
      </c>
      <c r="N33" s="409">
        <v>1120794.71</v>
      </c>
      <c r="O33" s="409">
        <v>988780.52</v>
      </c>
      <c r="P33" s="409">
        <v>991924.88</v>
      </c>
      <c r="Q33" s="409">
        <v>1030750.95</v>
      </c>
      <c r="R33" s="409">
        <v>988780.52</v>
      </c>
      <c r="S33" s="409">
        <v>1042332.75</v>
      </c>
      <c r="T33" s="409">
        <f>1002065.72+1005598.87+7353</f>
        <v>2015017.5899999999</v>
      </c>
      <c r="U33" s="409">
        <v>972120.94</v>
      </c>
      <c r="V33" s="409"/>
      <c r="W33" s="409">
        <v>901634.63</v>
      </c>
      <c r="X33" s="409">
        <f>1019102.64</f>
        <v>1019102.64</v>
      </c>
      <c r="Y33" s="409">
        <v>964678.33</v>
      </c>
      <c r="Z33" s="409">
        <f>3615.5+898019.13+975762.74</f>
        <v>1877397.37</v>
      </c>
      <c r="AA33" s="409">
        <v>712424.77</v>
      </c>
      <c r="AB33" s="409">
        <v>350803.08</v>
      </c>
      <c r="AC33" s="409">
        <f t="shared" si="0"/>
        <v>1419275.7700000005</v>
      </c>
      <c r="AD33" s="582"/>
      <c r="AE33" s="419">
        <v>1423676.9100000008</v>
      </c>
      <c r="AF33" s="587">
        <f t="shared" si="1"/>
        <v>12180307.460000001</v>
      </c>
      <c r="AG33" s="587">
        <f t="shared" si="2"/>
        <v>12184708.600000001</v>
      </c>
      <c r="AH33" s="587">
        <f t="shared" si="3"/>
        <v>1419275.7699999996</v>
      </c>
    </row>
    <row r="34" spans="1:34" ht="30.75" customHeight="1" x14ac:dyDescent="0.75">
      <c r="A34" s="408" t="s">
        <v>186</v>
      </c>
      <c r="B34" s="409">
        <f>'2014-2015'!AC34</f>
        <v>700572.21000000113</v>
      </c>
      <c r="C34" s="410"/>
      <c r="D34" s="411">
        <v>50044.97</v>
      </c>
      <c r="E34" s="409">
        <v>51766.1</v>
      </c>
      <c r="F34" s="409">
        <v>51766.1</v>
      </c>
      <c r="G34" s="409">
        <v>61070.75</v>
      </c>
      <c r="H34" s="409">
        <v>57444.01</v>
      </c>
      <c r="I34" s="409">
        <v>52331.92</v>
      </c>
      <c r="J34" s="409">
        <v>52331.92</v>
      </c>
      <c r="K34" s="409">
        <v>58261.91</v>
      </c>
      <c r="L34" s="409">
        <v>58261.91</v>
      </c>
      <c r="M34" s="409">
        <v>59591.13</v>
      </c>
      <c r="N34" s="409">
        <f>413286.88+59591.13</f>
        <v>472878.01</v>
      </c>
      <c r="O34" s="409">
        <v>56920.91</v>
      </c>
      <c r="P34" s="409">
        <v>56920.91</v>
      </c>
      <c r="Q34" s="409">
        <v>58329.09</v>
      </c>
      <c r="R34" s="409">
        <v>58329.09</v>
      </c>
      <c r="S34" s="409">
        <v>53785.32</v>
      </c>
      <c r="T34" s="409">
        <v>53785.32</v>
      </c>
      <c r="U34" s="409">
        <v>57642.28</v>
      </c>
      <c r="V34" s="414"/>
      <c r="W34" s="409">
        <v>54707.18</v>
      </c>
      <c r="X34" s="409">
        <v>57642.28</v>
      </c>
      <c r="Y34" s="409">
        <v>53863.7</v>
      </c>
      <c r="Z34" s="409">
        <f>54707.18+57490.44</f>
        <v>112197.62</v>
      </c>
      <c r="AA34" s="409">
        <v>39037.660000000003</v>
      </c>
      <c r="AB34" s="409">
        <v>24834.52</v>
      </c>
      <c r="AC34" s="409">
        <f t="shared" si="0"/>
        <v>301112.5400000012</v>
      </c>
      <c r="AD34" s="584"/>
      <c r="AE34" s="419">
        <v>700572.21000000113</v>
      </c>
      <c r="AF34" s="587">
        <f t="shared" si="1"/>
        <v>682142.47</v>
      </c>
      <c r="AG34" s="587">
        <f t="shared" si="2"/>
        <v>1081602.1400000001</v>
      </c>
      <c r="AH34" s="587">
        <f t="shared" si="3"/>
        <v>301112.54000000097</v>
      </c>
    </row>
    <row r="35" spans="1:34" ht="30.75" customHeight="1" x14ac:dyDescent="0.75">
      <c r="A35" s="408" t="s">
        <v>39</v>
      </c>
      <c r="B35" s="409">
        <f>'2014-2015'!AC35</f>
        <v>2442077.0599999996</v>
      </c>
      <c r="C35" s="410"/>
      <c r="D35" s="411">
        <f>121669.38+155889.84+217770.41</f>
        <v>495329.63</v>
      </c>
      <c r="E35" s="409">
        <v>503448.4</v>
      </c>
      <c r="F35" s="409">
        <f>41410.34</f>
        <v>41410.339999999997</v>
      </c>
      <c r="G35" s="409">
        <v>526243.6</v>
      </c>
      <c r="H35" s="409">
        <f>6527+6527</f>
        <v>13054</v>
      </c>
      <c r="I35" s="409">
        <v>540901.77</v>
      </c>
      <c r="J35" s="409">
        <f>7789.9+59299.9</f>
        <v>67089.8</v>
      </c>
      <c r="K35" s="409">
        <v>518472.81</v>
      </c>
      <c r="L35" s="409">
        <f>9496.13+58665.09+67480.71+9925.89+416178.31+194260.64+138475.77+77932.51+37525.6+34778.79+135369.15</f>
        <v>1180088.5900000001</v>
      </c>
      <c r="M35" s="409">
        <v>517433.36</v>
      </c>
      <c r="N35" s="409">
        <f>8368.21+11385.73+393214.1+7019.97+35655.39+12263.79+57496.09+188474.49+8828.95+21360.6+6527+185341.02+91195.37+76006.17+81225.96</f>
        <v>1184362.8399999999</v>
      </c>
      <c r="O35" s="409">
        <v>478638.97</v>
      </c>
      <c r="P35" s="409">
        <f>22417.49+513108.62+101669.47+177096.72+64553.53+67479.31</f>
        <v>946325.1399999999</v>
      </c>
      <c r="Q35" s="409">
        <v>446939.01</v>
      </c>
      <c r="R35" s="409">
        <f>32079.57+225799.28+60198.36+8594.69+6527+21660.07+45046.7</f>
        <v>399905.67000000004</v>
      </c>
      <c r="S35" s="409">
        <v>440609.68</v>
      </c>
      <c r="T35" s="409">
        <f>8494.3+72541.09+113282.98+8181.59+80232.04+26376.25+20730.06+10592.05</f>
        <v>340430.36</v>
      </c>
      <c r="U35" s="409">
        <v>392795.3</v>
      </c>
      <c r="V35" s="409">
        <f>10508.44+11744.47</f>
        <v>22252.91</v>
      </c>
      <c r="W35" s="409">
        <v>405317.74</v>
      </c>
      <c r="X35" s="409">
        <f>92267.25+163040.19+117561.45+63875.69</f>
        <v>436744.58</v>
      </c>
      <c r="Y35" s="409">
        <v>433544.34</v>
      </c>
      <c r="Z35" s="409">
        <f>108810.55+45664.74+389806.16+45938.09+80361.4+133233.41+10008.55+10272.22+137.27+36168.12</f>
        <v>860400.51</v>
      </c>
      <c r="AA35" s="409">
        <v>257244.5</v>
      </c>
      <c r="AB35" s="409">
        <v>125943.26</v>
      </c>
      <c r="AC35" s="409">
        <f t="shared" si="0"/>
        <v>2042215.4299999997</v>
      </c>
      <c r="AD35" s="582"/>
      <c r="AE35" s="419">
        <v>2442077.0599999996</v>
      </c>
      <c r="AF35" s="587">
        <f t="shared" si="1"/>
        <v>5587532.7400000002</v>
      </c>
      <c r="AG35" s="587">
        <f t="shared" si="2"/>
        <v>5987394.3700000001</v>
      </c>
      <c r="AH35" s="587">
        <f t="shared" si="3"/>
        <v>2042215.4299999997</v>
      </c>
    </row>
    <row r="36" spans="1:34" ht="30.75" customHeight="1" x14ac:dyDescent="0.75">
      <c r="A36" s="408" t="s">
        <v>73</v>
      </c>
      <c r="B36" s="409">
        <f>'2014-2015'!AC36</f>
        <v>977495.94999999984</v>
      </c>
      <c r="C36" s="410"/>
      <c r="D36" s="411">
        <v>0</v>
      </c>
      <c r="E36" s="409">
        <v>355263.46</v>
      </c>
      <c r="F36" s="409"/>
      <c r="G36" s="409">
        <v>422219.15</v>
      </c>
      <c r="H36" s="415">
        <v>988317.76</v>
      </c>
      <c r="I36" s="415">
        <v>338035.94</v>
      </c>
      <c r="J36" s="415">
        <v>420259.15</v>
      </c>
      <c r="K36" s="415">
        <v>374499.68</v>
      </c>
      <c r="L36" s="415"/>
      <c r="M36" s="415">
        <v>429330.21</v>
      </c>
      <c r="N36" s="415">
        <f>325348.94+372539.68</f>
        <v>697888.62</v>
      </c>
      <c r="O36" s="415">
        <v>386964.24</v>
      </c>
      <c r="P36" s="415"/>
      <c r="Q36" s="415">
        <v>390529.61</v>
      </c>
      <c r="R36" s="415">
        <f>790920.45+377842.61</f>
        <v>1168763.06</v>
      </c>
      <c r="S36" s="415">
        <v>425952.43</v>
      </c>
      <c r="T36" s="416"/>
      <c r="U36" s="416">
        <v>419811.25</v>
      </c>
      <c r="V36" s="416"/>
      <c r="W36" s="416">
        <v>384252.81</v>
      </c>
      <c r="X36" s="416"/>
      <c r="Y36" s="416">
        <v>410106.53</v>
      </c>
      <c r="Z36" s="416">
        <v>808152.02</v>
      </c>
      <c r="AA36" s="416">
        <v>433896.52</v>
      </c>
      <c r="AB36" s="416">
        <v>125855.34</v>
      </c>
      <c r="AC36" s="409">
        <f t="shared" si="0"/>
        <v>1790832.51</v>
      </c>
      <c r="AD36" s="581"/>
      <c r="AE36" s="419">
        <v>977495.94999999984</v>
      </c>
      <c r="AF36" s="587">
        <f t="shared" si="1"/>
        <v>4896717.17</v>
      </c>
      <c r="AG36" s="587">
        <f t="shared" si="2"/>
        <v>4083380.6100000003</v>
      </c>
      <c r="AH36" s="587">
        <f t="shared" si="3"/>
        <v>1790832.5099999998</v>
      </c>
    </row>
    <row r="37" spans="1:34" ht="30.75" customHeight="1" x14ac:dyDescent="0.75">
      <c r="A37" s="408" t="s">
        <v>54</v>
      </c>
      <c r="B37" s="409">
        <f>'2014-2015'!AC37</f>
        <v>918942.24000000011</v>
      </c>
      <c r="C37" s="410"/>
      <c r="D37" s="411">
        <v>0</v>
      </c>
      <c r="E37" s="409">
        <v>0</v>
      </c>
      <c r="F37" s="409"/>
      <c r="G37" s="409">
        <v>0</v>
      </c>
      <c r="H37" s="415"/>
      <c r="I37" s="415">
        <v>0</v>
      </c>
      <c r="J37" s="415"/>
      <c r="K37" s="415">
        <v>0</v>
      </c>
      <c r="L37" s="415"/>
      <c r="M37" s="415">
        <v>0</v>
      </c>
      <c r="N37" s="415"/>
      <c r="O37" s="415">
        <v>0</v>
      </c>
      <c r="P37" s="415"/>
      <c r="Q37" s="415">
        <v>0</v>
      </c>
      <c r="R37" s="415"/>
      <c r="S37" s="415">
        <v>0</v>
      </c>
      <c r="T37" s="416"/>
      <c r="U37" s="416">
        <v>0</v>
      </c>
      <c r="V37" s="416"/>
      <c r="W37" s="416">
        <v>0</v>
      </c>
      <c r="X37" s="416"/>
      <c r="Y37" s="416">
        <v>0</v>
      </c>
      <c r="Z37" s="416"/>
      <c r="AA37" s="416">
        <v>0</v>
      </c>
      <c r="AB37" s="416">
        <v>0</v>
      </c>
      <c r="AC37" s="409">
        <f t="shared" si="0"/>
        <v>918942.24000000011</v>
      </c>
      <c r="AD37" s="581"/>
      <c r="AE37" s="419">
        <v>918942.24000000011</v>
      </c>
      <c r="AF37" s="587">
        <f t="shared" si="1"/>
        <v>0</v>
      </c>
      <c r="AG37" s="587">
        <f t="shared" si="2"/>
        <v>0</v>
      </c>
      <c r="AH37" s="587">
        <f t="shared" si="3"/>
        <v>918942.24000000011</v>
      </c>
    </row>
    <row r="38" spans="1:34" ht="30.75" customHeight="1" x14ac:dyDescent="0.75">
      <c r="A38" s="408" t="s">
        <v>44</v>
      </c>
      <c r="B38" s="409">
        <f>'2014-2015'!AC38</f>
        <v>1150856.7899999996</v>
      </c>
      <c r="C38" s="410"/>
      <c r="D38" s="411">
        <v>0</v>
      </c>
      <c r="E38" s="409">
        <v>60757.120000000003</v>
      </c>
      <c r="F38" s="409"/>
      <c r="G38" s="409">
        <v>31656.959999999999</v>
      </c>
      <c r="H38" s="415"/>
      <c r="I38" s="415">
        <v>16551.84</v>
      </c>
      <c r="J38" s="415"/>
      <c r="K38" s="415">
        <v>30698.18</v>
      </c>
      <c r="L38" s="415"/>
      <c r="M38" s="415">
        <v>36063.22</v>
      </c>
      <c r="N38" s="415"/>
      <c r="O38" s="415">
        <v>42349.64</v>
      </c>
      <c r="P38" s="415"/>
      <c r="Q38" s="415">
        <v>34442.400000000001</v>
      </c>
      <c r="R38" s="415"/>
      <c r="S38" s="415">
        <v>21601.03</v>
      </c>
      <c r="T38" s="416"/>
      <c r="U38" s="416">
        <v>19423.150000000001</v>
      </c>
      <c r="V38" s="416"/>
      <c r="W38" s="416">
        <v>21344.400000000001</v>
      </c>
      <c r="X38" s="416"/>
      <c r="Y38" s="416">
        <v>25285.02</v>
      </c>
      <c r="Z38" s="416"/>
      <c r="AA38" s="416">
        <v>14977.79</v>
      </c>
      <c r="AB38" s="416">
        <v>10091.48</v>
      </c>
      <c r="AC38" s="409">
        <f t="shared" ref="AC38:AC69" si="4">B38-C38-D38+E38-F38+G38-H38+I38-J38+K38-L38+M38-N38+O38-P38+Q38-R38+S38-T38+U38-V38+W38-X38+Y38-Z38+AA38+AB38</f>
        <v>1516099.0199999993</v>
      </c>
      <c r="AD38" s="581"/>
      <c r="AE38" s="419">
        <v>1150856.7899999996</v>
      </c>
      <c r="AF38" s="587">
        <f t="shared" si="1"/>
        <v>365242.23000000004</v>
      </c>
      <c r="AG38" s="587">
        <f t="shared" si="2"/>
        <v>0</v>
      </c>
      <c r="AH38" s="587">
        <f t="shared" si="3"/>
        <v>1516099.0199999996</v>
      </c>
    </row>
    <row r="39" spans="1:34" ht="30.75" customHeight="1" x14ac:dyDescent="0.75">
      <c r="A39" s="408" t="s">
        <v>42</v>
      </c>
      <c r="B39" s="409">
        <f>'2014-2015'!AC39</f>
        <v>782536.4099999998</v>
      </c>
      <c r="C39" s="410">
        <v>0</v>
      </c>
      <c r="D39" s="411">
        <v>368916.41</v>
      </c>
      <c r="E39" s="409">
        <v>368909.73</v>
      </c>
      <c r="F39" s="409"/>
      <c r="G39" s="409">
        <v>388254.78</v>
      </c>
      <c r="H39" s="415">
        <f>407318.88+368909.73</f>
        <v>776228.61</v>
      </c>
      <c r="I39" s="415">
        <v>493764.34</v>
      </c>
      <c r="J39" s="415">
        <f>388254.78</f>
        <v>388254.78</v>
      </c>
      <c r="K39" s="415">
        <v>383743.8</v>
      </c>
      <c r="L39" s="415"/>
      <c r="M39" s="415">
        <v>407250.55</v>
      </c>
      <c r="N39" s="415">
        <f>877508.14</f>
        <v>877508.14</v>
      </c>
      <c r="O39" s="415">
        <v>382081.6</v>
      </c>
      <c r="P39" s="415">
        <v>407250.55</v>
      </c>
      <c r="Q39" s="415">
        <v>393863.43</v>
      </c>
      <c r="R39" s="415">
        <f>382081.6</f>
        <v>382081.6</v>
      </c>
      <c r="S39" s="415">
        <v>203245.43</v>
      </c>
      <c r="T39" s="416">
        <v>416247.43</v>
      </c>
      <c r="U39" s="416">
        <v>362795.67</v>
      </c>
      <c r="V39" s="416"/>
      <c r="W39" s="416">
        <v>325108.59000000003</v>
      </c>
      <c r="X39" s="416">
        <f>203245.43+362795.67</f>
        <v>566041.1</v>
      </c>
      <c r="Y39" s="416">
        <v>421083.35</v>
      </c>
      <c r="Z39" s="416">
        <f>325108.59</f>
        <v>325108.59000000003</v>
      </c>
      <c r="AA39" s="416">
        <v>315119.46000000002</v>
      </c>
      <c r="AB39" s="416">
        <v>94503.43</v>
      </c>
      <c r="AC39" s="409">
        <f t="shared" si="4"/>
        <v>814623.35999999987</v>
      </c>
      <c r="AD39" s="581"/>
      <c r="AE39" s="419">
        <v>782536.4099999998</v>
      </c>
      <c r="AF39" s="587">
        <f t="shared" si="1"/>
        <v>4539724.16</v>
      </c>
      <c r="AG39" s="587">
        <f t="shared" si="2"/>
        <v>4507637.21</v>
      </c>
      <c r="AH39" s="587">
        <f t="shared" si="3"/>
        <v>814623.36000000034</v>
      </c>
    </row>
    <row r="40" spans="1:34" ht="30.75" customHeight="1" x14ac:dyDescent="0.75">
      <c r="A40" s="408" t="s">
        <v>49</v>
      </c>
      <c r="B40" s="409">
        <f>'2014-2015'!AC40</f>
        <v>751599.03</v>
      </c>
      <c r="C40" s="410"/>
      <c r="D40" s="411">
        <v>0</v>
      </c>
      <c r="E40" s="409">
        <v>0</v>
      </c>
      <c r="F40" s="409"/>
      <c r="G40" s="409">
        <v>0</v>
      </c>
      <c r="H40" s="415"/>
      <c r="I40" s="415">
        <v>0</v>
      </c>
      <c r="J40" s="415"/>
      <c r="K40" s="415">
        <v>0</v>
      </c>
      <c r="L40" s="415"/>
      <c r="M40" s="415">
        <v>0</v>
      </c>
      <c r="N40" s="415"/>
      <c r="O40" s="415">
        <v>0</v>
      </c>
      <c r="P40" s="415"/>
      <c r="Q40" s="415">
        <v>0</v>
      </c>
      <c r="R40" s="415"/>
      <c r="S40" s="415">
        <v>0</v>
      </c>
      <c r="T40" s="416"/>
      <c r="U40" s="416">
        <v>0</v>
      </c>
      <c r="V40" s="416"/>
      <c r="W40" s="416">
        <v>0</v>
      </c>
      <c r="X40" s="416"/>
      <c r="Y40" s="416">
        <v>0</v>
      </c>
      <c r="Z40" s="416"/>
      <c r="AA40" s="416">
        <v>0</v>
      </c>
      <c r="AB40" s="416">
        <v>0</v>
      </c>
      <c r="AC40" s="409">
        <f t="shared" si="4"/>
        <v>751599.03</v>
      </c>
      <c r="AD40" s="581"/>
      <c r="AE40" s="419">
        <v>751599.03</v>
      </c>
      <c r="AF40" s="587">
        <f t="shared" si="1"/>
        <v>0</v>
      </c>
      <c r="AG40" s="587">
        <f t="shared" si="2"/>
        <v>0</v>
      </c>
      <c r="AH40" s="587">
        <f t="shared" si="3"/>
        <v>751599.03</v>
      </c>
    </row>
    <row r="41" spans="1:34" ht="30.75" customHeight="1" x14ac:dyDescent="0.75">
      <c r="A41" s="408" t="s">
        <v>63</v>
      </c>
      <c r="B41" s="409">
        <f>'2014-2015'!AC41</f>
        <v>676372.64000000048</v>
      </c>
      <c r="C41" s="410"/>
      <c r="D41" s="411">
        <v>0</v>
      </c>
      <c r="E41" s="409">
        <v>0</v>
      </c>
      <c r="F41" s="409"/>
      <c r="G41" s="409">
        <v>0</v>
      </c>
      <c r="H41" s="415"/>
      <c r="I41" s="415">
        <v>0</v>
      </c>
      <c r="J41" s="415"/>
      <c r="K41" s="415">
        <v>0</v>
      </c>
      <c r="L41" s="415"/>
      <c r="M41" s="415">
        <v>0</v>
      </c>
      <c r="N41" s="415"/>
      <c r="O41" s="415">
        <v>0</v>
      </c>
      <c r="P41" s="415"/>
      <c r="Q41" s="415">
        <v>0</v>
      </c>
      <c r="R41" s="415"/>
      <c r="S41" s="415">
        <v>0</v>
      </c>
      <c r="T41" s="416"/>
      <c r="U41" s="416">
        <v>0</v>
      </c>
      <c r="V41" s="416"/>
      <c r="W41" s="416">
        <v>0</v>
      </c>
      <c r="X41" s="416"/>
      <c r="Y41" s="416">
        <v>0</v>
      </c>
      <c r="Z41" s="416"/>
      <c r="AA41" s="416">
        <v>0</v>
      </c>
      <c r="AB41" s="416">
        <v>0</v>
      </c>
      <c r="AC41" s="409">
        <f t="shared" si="4"/>
        <v>676372.64000000048</v>
      </c>
      <c r="AD41" s="581"/>
      <c r="AE41" s="419">
        <v>676372.64000000048</v>
      </c>
      <c r="AF41" s="587">
        <f t="shared" si="1"/>
        <v>0</v>
      </c>
      <c r="AG41" s="587">
        <f t="shared" si="2"/>
        <v>0</v>
      </c>
      <c r="AH41" s="587">
        <f t="shared" si="3"/>
        <v>676372.64000000048</v>
      </c>
    </row>
    <row r="42" spans="1:34" ht="30.75" customHeight="1" x14ac:dyDescent="0.75">
      <c r="A42" s="408" t="s">
        <v>60</v>
      </c>
      <c r="B42" s="409">
        <f>'2014-2015'!AC42</f>
        <v>2906980.7690000003</v>
      </c>
      <c r="C42" s="410"/>
      <c r="D42" s="411">
        <f>1168003.68+878950.98</f>
        <v>2046954.66</v>
      </c>
      <c r="E42" s="409">
        <v>715520.32</v>
      </c>
      <c r="F42" s="409">
        <f>668991.79</f>
        <v>668991.79</v>
      </c>
      <c r="G42" s="409">
        <v>740077.41</v>
      </c>
      <c r="H42" s="415"/>
      <c r="I42" s="415">
        <v>707332.08</v>
      </c>
      <c r="J42" s="415">
        <v>715520.32</v>
      </c>
      <c r="K42" s="415">
        <v>676523.83</v>
      </c>
      <c r="L42" s="415">
        <f>740077.41+707332.08</f>
        <v>1447409.49</v>
      </c>
      <c r="M42" s="415">
        <v>747476.86</v>
      </c>
      <c r="N42" s="415">
        <v>663773.82999999996</v>
      </c>
      <c r="O42" s="415">
        <v>716955.69</v>
      </c>
      <c r="P42" s="415">
        <v>747476.86</v>
      </c>
      <c r="Q42" s="415">
        <v>770022.65</v>
      </c>
      <c r="R42" s="415">
        <v>716955.69</v>
      </c>
      <c r="S42" s="415">
        <v>758030.35</v>
      </c>
      <c r="T42" s="416">
        <f>770022.65</f>
        <v>770022.65</v>
      </c>
      <c r="U42" s="416">
        <v>677476.87</v>
      </c>
      <c r="V42" s="417"/>
      <c r="W42" s="416">
        <v>619096.79</v>
      </c>
      <c r="X42" s="416">
        <f>677476.87+758030.35</f>
        <v>1435507.22</v>
      </c>
      <c r="Y42" s="416">
        <v>730634.2</v>
      </c>
      <c r="Z42" s="416">
        <f>619096.79</f>
        <v>619096.79</v>
      </c>
      <c r="AA42" s="416">
        <v>596929.67000000004</v>
      </c>
      <c r="AB42" s="416">
        <v>173538.82</v>
      </c>
      <c r="AC42" s="409">
        <f t="shared" si="4"/>
        <v>1704887.0090000008</v>
      </c>
      <c r="AD42" s="581"/>
      <c r="AE42" s="419">
        <v>2906980.7690000003</v>
      </c>
      <c r="AF42" s="587">
        <f t="shared" si="1"/>
        <v>8629615.540000001</v>
      </c>
      <c r="AG42" s="587">
        <f t="shared" si="2"/>
        <v>9831709.3000000007</v>
      </c>
      <c r="AH42" s="587">
        <f t="shared" si="3"/>
        <v>1704887.0089999996</v>
      </c>
    </row>
    <row r="43" spans="1:34" ht="30.75" customHeight="1" x14ac:dyDescent="0.75">
      <c r="A43" s="408" t="s">
        <v>71</v>
      </c>
      <c r="B43" s="409">
        <f>'2014-2015'!AC43</f>
        <v>699859.47999999986</v>
      </c>
      <c r="C43" s="410"/>
      <c r="D43" s="411">
        <v>61617.22</v>
      </c>
      <c r="E43" s="409">
        <v>37225.68</v>
      </c>
      <c r="F43" s="409"/>
      <c r="G43" s="409">
        <v>26681.01</v>
      </c>
      <c r="H43" s="415"/>
      <c r="I43" s="415">
        <v>1338.01</v>
      </c>
      <c r="J43" s="415"/>
      <c r="K43" s="415">
        <v>8710.23</v>
      </c>
      <c r="L43" s="415">
        <v>1338.01</v>
      </c>
      <c r="M43" s="415">
        <v>11640.4</v>
      </c>
      <c r="N43" s="415">
        <v>8710.23</v>
      </c>
      <c r="O43" s="415">
        <v>7061.44</v>
      </c>
      <c r="P43" s="415"/>
      <c r="Q43" s="415">
        <v>9260.16</v>
      </c>
      <c r="R43" s="415">
        <v>18701.84</v>
      </c>
      <c r="S43" s="415">
        <v>8072.61</v>
      </c>
      <c r="T43" s="416">
        <v>7745.56</v>
      </c>
      <c r="U43" s="416">
        <v>7421.47</v>
      </c>
      <c r="V43" s="416"/>
      <c r="W43" s="416">
        <v>7576.31</v>
      </c>
      <c r="X43" s="416"/>
      <c r="Y43" s="416">
        <v>27178.5</v>
      </c>
      <c r="Z43" s="416"/>
      <c r="AA43" s="416">
        <v>24582.66</v>
      </c>
      <c r="AB43" s="416">
        <v>10577.84</v>
      </c>
      <c r="AC43" s="409">
        <f t="shared" si="4"/>
        <v>789072.94</v>
      </c>
      <c r="AD43" s="581"/>
      <c r="AE43" s="419">
        <v>699859.47999999986</v>
      </c>
      <c r="AF43" s="587">
        <f t="shared" si="1"/>
        <v>187326.32</v>
      </c>
      <c r="AG43" s="587">
        <f t="shared" si="2"/>
        <v>98112.86</v>
      </c>
      <c r="AH43" s="587">
        <f t="shared" si="3"/>
        <v>789072.93999999983</v>
      </c>
    </row>
    <row r="44" spans="1:34" ht="30.75" customHeight="1" x14ac:dyDescent="0.75">
      <c r="A44" s="408" t="s">
        <v>88</v>
      </c>
      <c r="B44" s="409">
        <f>'2014-2015'!AC44</f>
        <v>955979.14999999967</v>
      </c>
      <c r="C44" s="410"/>
      <c r="D44" s="411">
        <v>0</v>
      </c>
      <c r="E44" s="409">
        <v>38598</v>
      </c>
      <c r="F44" s="409"/>
      <c r="G44" s="409">
        <v>23202</v>
      </c>
      <c r="H44" s="415"/>
      <c r="I44" s="415">
        <v>23202</v>
      </c>
      <c r="J44" s="415"/>
      <c r="K44" s="415">
        <v>23202</v>
      </c>
      <c r="L44" s="415"/>
      <c r="M44" s="415">
        <v>23202</v>
      </c>
      <c r="N44" s="415"/>
      <c r="O44" s="415">
        <v>23202</v>
      </c>
      <c r="P44" s="415"/>
      <c r="Q44" s="415">
        <v>23202</v>
      </c>
      <c r="R44" s="415"/>
      <c r="S44" s="415">
        <v>23202</v>
      </c>
      <c r="T44" s="416"/>
      <c r="U44" s="416">
        <v>23202</v>
      </c>
      <c r="V44" s="416"/>
      <c r="W44" s="416">
        <v>23202</v>
      </c>
      <c r="X44" s="416"/>
      <c r="Y44" s="416">
        <v>15450</v>
      </c>
      <c r="Z44" s="416"/>
      <c r="AA44" s="416">
        <v>15450</v>
      </c>
      <c r="AB44" s="416">
        <v>0</v>
      </c>
      <c r="AC44" s="409">
        <f t="shared" si="4"/>
        <v>1234295.1499999997</v>
      </c>
      <c r="AD44" s="581"/>
      <c r="AE44" s="419">
        <v>955979.14999999967</v>
      </c>
      <c r="AF44" s="587">
        <f t="shared" si="1"/>
        <v>278316</v>
      </c>
      <c r="AG44" s="587">
        <f t="shared" si="2"/>
        <v>0</v>
      </c>
      <c r="AH44" s="587">
        <f t="shared" si="3"/>
        <v>1234295.1499999997</v>
      </c>
    </row>
    <row r="45" spans="1:34" ht="30.75" customHeight="1" x14ac:dyDescent="0.75">
      <c r="A45" s="408" t="s">
        <v>336</v>
      </c>
      <c r="B45" s="409">
        <f>'2014-2015'!AC45</f>
        <v>474189.68300000002</v>
      </c>
      <c r="C45" s="410"/>
      <c r="D45" s="411">
        <v>6951.82</v>
      </c>
      <c r="E45" s="409">
        <v>0</v>
      </c>
      <c r="F45" s="409"/>
      <c r="G45" s="409">
        <v>6802.29</v>
      </c>
      <c r="H45" s="415"/>
      <c r="I45" s="415">
        <v>3481.27</v>
      </c>
      <c r="J45" s="415"/>
      <c r="K45" s="415">
        <v>13978.41</v>
      </c>
      <c r="L45" s="415">
        <v>3481.18</v>
      </c>
      <c r="M45" s="415">
        <v>7028.27</v>
      </c>
      <c r="N45" s="415">
        <f>59493.84+83157.43</f>
        <v>142651.26999999999</v>
      </c>
      <c r="O45" s="415">
        <v>11907.13</v>
      </c>
      <c r="P45" s="415"/>
      <c r="Q45" s="415">
        <v>20442.12</v>
      </c>
      <c r="R45" s="415">
        <f>3507.61+2618.06</f>
        <v>6125.67</v>
      </c>
      <c r="S45" s="415">
        <v>5856.03</v>
      </c>
      <c r="T45" s="416"/>
      <c r="U45" s="416">
        <v>7387.22</v>
      </c>
      <c r="V45" s="416"/>
      <c r="W45" s="416">
        <v>0</v>
      </c>
      <c r="X45" s="416"/>
      <c r="Y45" s="416">
        <v>5187.0200000000004</v>
      </c>
      <c r="Z45" s="416"/>
      <c r="AA45" s="416">
        <v>15457.05</v>
      </c>
      <c r="AB45" s="416">
        <v>1974.95</v>
      </c>
      <c r="AC45" s="409">
        <f t="shared" si="4"/>
        <v>414481.50300000008</v>
      </c>
      <c r="AD45" s="581"/>
      <c r="AE45" s="419">
        <v>474189.68300000002</v>
      </c>
      <c r="AF45" s="587">
        <f t="shared" si="1"/>
        <v>99501.760000000009</v>
      </c>
      <c r="AG45" s="587">
        <f t="shared" si="2"/>
        <v>159209.94</v>
      </c>
      <c r="AH45" s="587">
        <f t="shared" si="3"/>
        <v>414481.50299999997</v>
      </c>
    </row>
    <row r="46" spans="1:34" ht="30.75" customHeight="1" x14ac:dyDescent="0.75">
      <c r="A46" s="408" t="s">
        <v>50</v>
      </c>
      <c r="B46" s="409">
        <f>'2014-2015'!AC46</f>
        <v>774571.20999999973</v>
      </c>
      <c r="C46" s="410"/>
      <c r="D46" s="411">
        <f>135462.39</f>
        <v>135462.39000000001</v>
      </c>
      <c r="E46" s="409">
        <v>180433.59</v>
      </c>
      <c r="F46" s="409">
        <f>31617.99+110923.13</f>
        <v>142541.12</v>
      </c>
      <c r="G46" s="409">
        <v>171447.32</v>
      </c>
      <c r="H46" s="415">
        <f>140860.35</f>
        <v>140860.35</v>
      </c>
      <c r="I46" s="415">
        <v>166527.82</v>
      </c>
      <c r="J46" s="415">
        <f>136577.78</f>
        <v>136577.78</v>
      </c>
      <c r="K46" s="415">
        <v>170938.64</v>
      </c>
      <c r="L46" s="415">
        <f>3618.13+1268+27435.31</f>
        <v>32321.440000000002</v>
      </c>
      <c r="M46" s="415">
        <v>178787.16</v>
      </c>
      <c r="N46" s="415">
        <f>111648.36+148200.19</f>
        <v>259848.55</v>
      </c>
      <c r="O46" s="415">
        <v>-205244.1</v>
      </c>
      <c r="P46" s="415">
        <f>47678.74</f>
        <v>47678.74</v>
      </c>
      <c r="Q46" s="415">
        <v>313662.59000000003</v>
      </c>
      <c r="R46" s="415">
        <f>152281.13+157885.75</f>
        <v>310166.88</v>
      </c>
      <c r="S46" s="415">
        <v>167864.08</v>
      </c>
      <c r="T46" s="416">
        <f>143328.87+155817.65</f>
        <v>299146.52</v>
      </c>
      <c r="U46" s="416">
        <v>163795.66</v>
      </c>
      <c r="V46" s="416">
        <f>1712+149635.69</f>
        <v>151347.69</v>
      </c>
      <c r="W46" s="416">
        <v>155785.29999999999</v>
      </c>
      <c r="X46" s="416">
        <f>118541.36+24795.97</f>
        <v>143337.33000000002</v>
      </c>
      <c r="Y46" s="416">
        <v>200247.4</v>
      </c>
      <c r="Z46" s="416">
        <f>165900.29+22709.19+22781.6</f>
        <v>211391.08000000002</v>
      </c>
      <c r="AA46" s="416">
        <v>148324.72</v>
      </c>
      <c r="AB46" s="416">
        <v>57701.21</v>
      </c>
      <c r="AC46" s="409">
        <f t="shared" si="4"/>
        <v>634162.72999999928</v>
      </c>
      <c r="AD46" s="581"/>
      <c r="AE46" s="419">
        <v>774571.20999999973</v>
      </c>
      <c r="AF46" s="587">
        <f t="shared" si="1"/>
        <v>1870271.3900000001</v>
      </c>
      <c r="AG46" s="587">
        <f t="shared" si="2"/>
        <v>2010679.87</v>
      </c>
      <c r="AH46" s="587">
        <f t="shared" si="3"/>
        <v>634162.72999999952</v>
      </c>
    </row>
    <row r="47" spans="1:34" ht="30.75" customHeight="1" x14ac:dyDescent="0.75">
      <c r="A47" s="418" t="s">
        <v>337</v>
      </c>
      <c r="B47" s="409">
        <f>'2014-2015'!AC47</f>
        <v>494500.07999999996</v>
      </c>
      <c r="C47" s="410"/>
      <c r="D47" s="419">
        <v>0</v>
      </c>
      <c r="E47" s="420">
        <v>0</v>
      </c>
      <c r="F47" s="420"/>
      <c r="G47" s="420">
        <v>0</v>
      </c>
      <c r="H47" s="421"/>
      <c r="I47" s="421">
        <v>0</v>
      </c>
      <c r="J47" s="421"/>
      <c r="K47" s="421">
        <v>0</v>
      </c>
      <c r="L47" s="421"/>
      <c r="M47" s="421">
        <v>0</v>
      </c>
      <c r="N47" s="421"/>
      <c r="O47" s="421">
        <v>0</v>
      </c>
      <c r="P47" s="421"/>
      <c r="Q47" s="415">
        <v>0</v>
      </c>
      <c r="R47" s="421"/>
      <c r="S47" s="421">
        <v>0</v>
      </c>
      <c r="T47" s="422"/>
      <c r="U47" s="422">
        <v>0</v>
      </c>
      <c r="V47" s="422"/>
      <c r="W47" s="422">
        <v>0</v>
      </c>
      <c r="X47" s="422"/>
      <c r="Y47" s="422">
        <v>0</v>
      </c>
      <c r="Z47" s="422"/>
      <c r="AA47" s="422">
        <v>0</v>
      </c>
      <c r="AB47" s="422">
        <v>0</v>
      </c>
      <c r="AC47" s="409">
        <f t="shared" si="4"/>
        <v>494500.07999999996</v>
      </c>
      <c r="AD47" s="581"/>
      <c r="AE47" s="419">
        <v>494500.07999999996</v>
      </c>
      <c r="AF47" s="587">
        <f t="shared" si="1"/>
        <v>0</v>
      </c>
      <c r="AG47" s="587">
        <f t="shared" si="2"/>
        <v>0</v>
      </c>
      <c r="AH47" s="587">
        <f t="shared" si="3"/>
        <v>494500.07999999996</v>
      </c>
    </row>
    <row r="48" spans="1:34" ht="30.75" customHeight="1" x14ac:dyDescent="0.75">
      <c r="A48" s="408" t="s">
        <v>46</v>
      </c>
      <c r="B48" s="409">
        <f>'2014-2015'!AC48</f>
        <v>361687.66999999987</v>
      </c>
      <c r="C48" s="410"/>
      <c r="D48" s="411">
        <v>130799.42</v>
      </c>
      <c r="E48" s="409">
        <v>221267.09</v>
      </c>
      <c r="F48" s="409">
        <v>113498.7</v>
      </c>
      <c r="G48" s="409">
        <v>20721.68</v>
      </c>
      <c r="H48" s="415"/>
      <c r="I48" s="415">
        <v>98933.5</v>
      </c>
      <c r="J48" s="415"/>
      <c r="K48" s="415">
        <v>112438.28</v>
      </c>
      <c r="L48" s="415"/>
      <c r="M48" s="415">
        <v>102318.75</v>
      </c>
      <c r="N48" s="415">
        <v>420912.05</v>
      </c>
      <c r="O48" s="415">
        <v>135833.82999999999</v>
      </c>
      <c r="P48" s="415">
        <v>236785.32</v>
      </c>
      <c r="Q48" s="415">
        <v>137363.01</v>
      </c>
      <c r="R48" s="415"/>
      <c r="S48" s="415">
        <v>102546.04</v>
      </c>
      <c r="T48" s="416">
        <f>11482.16</f>
        <v>11482.16</v>
      </c>
      <c r="U48" s="416">
        <v>101939.06</v>
      </c>
      <c r="V48" s="416">
        <f>135499.61+101939.06</f>
        <v>237438.66999999998</v>
      </c>
      <c r="W48" s="416">
        <v>91462.96</v>
      </c>
      <c r="X48" s="416">
        <f>102546.04+91462.96</f>
        <v>194009</v>
      </c>
      <c r="Y48" s="416">
        <v>91732.5</v>
      </c>
      <c r="Z48" s="416">
        <f>83989.21+72987.98</f>
        <v>156977.19</v>
      </c>
      <c r="AA48" s="416">
        <v>78328.179999999993</v>
      </c>
      <c r="AB48" s="416">
        <v>110579.64</v>
      </c>
      <c r="AC48" s="409">
        <f t="shared" si="4"/>
        <v>265249.67999999993</v>
      </c>
      <c r="AD48" s="581"/>
      <c r="AE48" s="419">
        <v>361687.66999999987</v>
      </c>
      <c r="AF48" s="587">
        <f t="shared" si="1"/>
        <v>1405464.5199999998</v>
      </c>
      <c r="AG48" s="587">
        <f t="shared" si="2"/>
        <v>1501902.51</v>
      </c>
      <c r="AH48" s="587">
        <f t="shared" si="3"/>
        <v>265249.6799999997</v>
      </c>
    </row>
    <row r="49" spans="1:34" ht="30.75" customHeight="1" x14ac:dyDescent="0.75">
      <c r="A49" s="408" t="s">
        <v>59</v>
      </c>
      <c r="B49" s="409">
        <f>'2014-2015'!AC49</f>
        <v>244788.93999999986</v>
      </c>
      <c r="C49" s="410"/>
      <c r="D49" s="411">
        <v>165227.57999999999</v>
      </c>
      <c r="E49" s="409">
        <v>215256.16</v>
      </c>
      <c r="F49" s="409">
        <v>215256.16</v>
      </c>
      <c r="G49" s="409">
        <v>175285.37</v>
      </c>
      <c r="H49" s="415">
        <v>175285.37</v>
      </c>
      <c r="I49" s="415">
        <v>198458.32</v>
      </c>
      <c r="J49" s="415">
        <v>198458.32</v>
      </c>
      <c r="K49" s="415">
        <v>210595.32</v>
      </c>
      <c r="L49" s="415">
        <v>210595.32</v>
      </c>
      <c r="M49" s="415">
        <v>232675.7</v>
      </c>
      <c r="N49" s="415">
        <v>231940.1</v>
      </c>
      <c r="O49" s="415">
        <v>209091.22</v>
      </c>
      <c r="P49" s="415">
        <f>209091.22</f>
        <v>209091.22</v>
      </c>
      <c r="Q49" s="415">
        <v>177573.47</v>
      </c>
      <c r="R49" s="415"/>
      <c r="S49" s="415">
        <v>204951.15</v>
      </c>
      <c r="T49" s="416">
        <f>204951.15+177573.47</f>
        <v>382524.62</v>
      </c>
      <c r="U49" s="416">
        <v>167566.67000000001</v>
      </c>
      <c r="V49" s="416">
        <v>167566.67000000001</v>
      </c>
      <c r="W49" s="416">
        <v>147910.09</v>
      </c>
      <c r="X49" s="416">
        <v>147910.09</v>
      </c>
      <c r="Y49" s="416">
        <v>188464.16</v>
      </c>
      <c r="Z49" s="416">
        <v>188464.16</v>
      </c>
      <c r="AA49" s="416">
        <v>128243.05</v>
      </c>
      <c r="AB49" s="416">
        <v>63715.69</v>
      </c>
      <c r="AC49" s="409">
        <f t="shared" si="4"/>
        <v>272255.7</v>
      </c>
      <c r="AD49" s="581"/>
      <c r="AE49" s="419">
        <v>244788.93999999986</v>
      </c>
      <c r="AF49" s="587">
        <f t="shared" si="1"/>
        <v>2319786.3699999996</v>
      </c>
      <c r="AG49" s="587">
        <f t="shared" si="2"/>
        <v>2292319.61</v>
      </c>
      <c r="AH49" s="587">
        <f t="shared" si="3"/>
        <v>272255.69999999972</v>
      </c>
    </row>
    <row r="50" spans="1:34" ht="30.75" customHeight="1" x14ac:dyDescent="0.75">
      <c r="A50" s="408" t="s">
        <v>365</v>
      </c>
      <c r="B50" s="409">
        <f>'2014-2015'!AC50</f>
        <v>289097.74000000005</v>
      </c>
      <c r="C50" s="410"/>
      <c r="D50" s="411">
        <v>0</v>
      </c>
      <c r="E50" s="409">
        <v>73713.240000000005</v>
      </c>
      <c r="F50" s="409">
        <f>60146.43+22963+73713.24</f>
        <v>156822.66999999998</v>
      </c>
      <c r="G50" s="409">
        <v>146329.57</v>
      </c>
      <c r="H50" s="415"/>
      <c r="I50" s="415">
        <v>154683.23000000001</v>
      </c>
      <c r="J50" s="415">
        <f>146329.57+154683.23</f>
        <v>301012.80000000005</v>
      </c>
      <c r="K50" s="415">
        <v>157100.07999999999</v>
      </c>
      <c r="L50" s="415">
        <v>157100.07999999999</v>
      </c>
      <c r="M50" s="415">
        <v>165749.95000000001</v>
      </c>
      <c r="N50" s="415"/>
      <c r="O50" s="415">
        <v>160644.03</v>
      </c>
      <c r="P50" s="415"/>
      <c r="Q50" s="415">
        <v>168015.39</v>
      </c>
      <c r="R50" s="415">
        <f>160644.03+168015.39</f>
        <v>328659.42000000004</v>
      </c>
      <c r="S50" s="415">
        <v>192355.20000000001</v>
      </c>
      <c r="T50" s="416"/>
      <c r="U50" s="416">
        <v>169150.86</v>
      </c>
      <c r="V50" s="416">
        <v>192355.20000000001</v>
      </c>
      <c r="W50" s="416">
        <v>161840.95000000001</v>
      </c>
      <c r="X50" s="416">
        <f>169150.86+161840.95</f>
        <v>330991.81</v>
      </c>
      <c r="Y50" s="416">
        <v>184104.05</v>
      </c>
      <c r="Z50" s="416">
        <v>184104.05</v>
      </c>
      <c r="AA50" s="416">
        <v>124878.42</v>
      </c>
      <c r="AB50" s="416">
        <v>42213.87</v>
      </c>
      <c r="AC50" s="409">
        <f t="shared" si="4"/>
        <v>538830.54999999981</v>
      </c>
      <c r="AD50" s="581"/>
      <c r="AE50" s="419">
        <v>289097.74000000005</v>
      </c>
      <c r="AF50" s="587">
        <f t="shared" si="1"/>
        <v>1900778.8400000003</v>
      </c>
      <c r="AG50" s="587">
        <f t="shared" si="2"/>
        <v>1651046.0300000003</v>
      </c>
      <c r="AH50" s="587">
        <f t="shared" si="3"/>
        <v>538830.55000000028</v>
      </c>
    </row>
    <row r="51" spans="1:34" ht="30.75" customHeight="1" x14ac:dyDescent="0.75">
      <c r="A51" s="408" t="s">
        <v>82</v>
      </c>
      <c r="B51" s="409">
        <f>'2014-2015'!AC51</f>
        <v>1222577.1300000004</v>
      </c>
      <c r="C51" s="410"/>
      <c r="D51" s="411">
        <v>1085570.97</v>
      </c>
      <c r="E51" s="409">
        <v>82841.47</v>
      </c>
      <c r="F51" s="409"/>
      <c r="G51" s="409">
        <v>93901.23</v>
      </c>
      <c r="H51" s="415"/>
      <c r="I51" s="415">
        <v>81689.320000000007</v>
      </c>
      <c r="J51" s="415"/>
      <c r="K51" s="415">
        <v>77856.45</v>
      </c>
      <c r="L51" s="415"/>
      <c r="M51" s="415">
        <v>86039.19</v>
      </c>
      <c r="N51" s="415"/>
      <c r="O51" s="415">
        <v>68410.81</v>
      </c>
      <c r="P51" s="415"/>
      <c r="Q51" s="415">
        <v>75489.899999999994</v>
      </c>
      <c r="R51" s="415"/>
      <c r="S51" s="415">
        <v>75050.83</v>
      </c>
      <c r="T51" s="416"/>
      <c r="U51" s="416">
        <v>117262.35</v>
      </c>
      <c r="V51" s="416"/>
      <c r="W51" s="416">
        <v>74919.75</v>
      </c>
      <c r="X51" s="416"/>
      <c r="Y51" s="416">
        <v>63712.92</v>
      </c>
      <c r="Z51" s="416"/>
      <c r="AA51" s="416">
        <v>301845.65999999997</v>
      </c>
      <c r="AB51" s="416">
        <v>19459.060000000001</v>
      </c>
      <c r="AC51" s="409">
        <f t="shared" si="4"/>
        <v>1355485.1000000003</v>
      </c>
      <c r="AD51" s="581"/>
      <c r="AE51" s="419">
        <v>1222577.1300000004</v>
      </c>
      <c r="AF51" s="587">
        <f t="shared" si="1"/>
        <v>1218478.94</v>
      </c>
      <c r="AG51" s="587">
        <f t="shared" si="2"/>
        <v>1085570.97</v>
      </c>
      <c r="AH51" s="587">
        <f t="shared" si="3"/>
        <v>1355485.1000000003</v>
      </c>
    </row>
    <row r="52" spans="1:34" ht="30.75" customHeight="1" x14ac:dyDescent="0.75">
      <c r="A52" s="408" t="s">
        <v>75</v>
      </c>
      <c r="B52" s="409">
        <f>'2014-2015'!AC52</f>
        <v>307904.64999999973</v>
      </c>
      <c r="C52" s="410"/>
      <c r="D52" s="411">
        <v>0</v>
      </c>
      <c r="E52" s="409">
        <v>158264.51999999999</v>
      </c>
      <c r="F52" s="409"/>
      <c r="G52" s="409">
        <v>172034.08</v>
      </c>
      <c r="H52" s="415">
        <f>262778.21+63205.99</f>
        <v>325984.2</v>
      </c>
      <c r="I52" s="415">
        <v>178770.6</v>
      </c>
      <c r="J52" s="415"/>
      <c r="K52" s="415">
        <v>195235.21</v>
      </c>
      <c r="L52" s="415">
        <f>172034.07+178770.6</f>
        <v>350804.67000000004</v>
      </c>
      <c r="M52" s="415">
        <v>176293.29</v>
      </c>
      <c r="N52" s="415">
        <v>195235.21</v>
      </c>
      <c r="O52" s="415">
        <v>166964.24</v>
      </c>
      <c r="P52" s="415"/>
      <c r="Q52" s="415">
        <v>466005.48</v>
      </c>
      <c r="R52" s="415">
        <f>166964.24</f>
        <v>166964.24</v>
      </c>
      <c r="S52" s="415">
        <v>193122.56</v>
      </c>
      <c r="T52" s="416"/>
      <c r="U52" s="416">
        <v>307649.56</v>
      </c>
      <c r="V52" s="416"/>
      <c r="W52" s="416">
        <v>264878.33</v>
      </c>
      <c r="X52" s="416"/>
      <c r="Y52" s="416">
        <v>215357.71</v>
      </c>
      <c r="Z52" s="416"/>
      <c r="AA52" s="416">
        <v>123066.47</v>
      </c>
      <c r="AB52" s="416">
        <v>82852.639999999999</v>
      </c>
      <c r="AC52" s="409">
        <f t="shared" si="4"/>
        <v>1969411.0199999996</v>
      </c>
      <c r="AD52" s="581"/>
      <c r="AE52" s="419">
        <v>307904.64999999973</v>
      </c>
      <c r="AF52" s="587">
        <f t="shared" si="1"/>
        <v>2700494.6900000004</v>
      </c>
      <c r="AG52" s="587">
        <f t="shared" si="2"/>
        <v>1038988.3200000001</v>
      </c>
      <c r="AH52" s="587">
        <f t="shared" si="3"/>
        <v>1969411.0200000003</v>
      </c>
    </row>
    <row r="53" spans="1:34" ht="30.75" customHeight="1" x14ac:dyDescent="0.75">
      <c r="A53" s="408" t="s">
        <v>84</v>
      </c>
      <c r="B53" s="409">
        <f>'2014-2015'!AC53</f>
        <v>25048.97000000038</v>
      </c>
      <c r="C53" s="410"/>
      <c r="D53" s="411">
        <v>0</v>
      </c>
      <c r="E53" s="409">
        <v>0</v>
      </c>
      <c r="F53" s="409"/>
      <c r="G53" s="409">
        <v>0</v>
      </c>
      <c r="H53" s="415"/>
      <c r="I53" s="415">
        <v>0</v>
      </c>
      <c r="J53" s="415"/>
      <c r="K53" s="415">
        <v>0</v>
      </c>
      <c r="L53" s="415"/>
      <c r="M53" s="415">
        <v>0</v>
      </c>
      <c r="N53" s="415"/>
      <c r="O53" s="415">
        <v>0</v>
      </c>
      <c r="P53" s="415"/>
      <c r="Q53" s="415">
        <v>0</v>
      </c>
      <c r="R53" s="415"/>
      <c r="S53" s="415">
        <v>0</v>
      </c>
      <c r="T53" s="416"/>
      <c r="U53" s="416">
        <v>0</v>
      </c>
      <c r="V53" s="416"/>
      <c r="W53" s="416">
        <v>0</v>
      </c>
      <c r="X53" s="416"/>
      <c r="Y53" s="416">
        <v>0</v>
      </c>
      <c r="Z53" s="416"/>
      <c r="AA53" s="416">
        <v>0</v>
      </c>
      <c r="AB53" s="416">
        <v>0</v>
      </c>
      <c r="AC53" s="409">
        <f t="shared" si="4"/>
        <v>25048.97000000038</v>
      </c>
      <c r="AD53" s="581"/>
      <c r="AE53" s="419">
        <v>25048.97000000038</v>
      </c>
      <c r="AF53" s="587">
        <f t="shared" si="1"/>
        <v>0</v>
      </c>
      <c r="AG53" s="587">
        <f t="shared" si="2"/>
        <v>0</v>
      </c>
      <c r="AH53" s="587">
        <f t="shared" si="3"/>
        <v>25048.97000000038</v>
      </c>
    </row>
    <row r="54" spans="1:34" ht="30.75" customHeight="1" x14ac:dyDescent="0.75">
      <c r="A54" s="408" t="s">
        <v>68</v>
      </c>
      <c r="B54" s="409">
        <f>'2014-2015'!AC54</f>
        <v>126396.43999999925</v>
      </c>
      <c r="C54" s="410">
        <v>0</v>
      </c>
      <c r="D54" s="411">
        <v>0</v>
      </c>
      <c r="E54" s="409">
        <v>150248.01999999999</v>
      </c>
      <c r="F54" s="409">
        <v>149434.25</v>
      </c>
      <c r="G54" s="409">
        <v>159701.35</v>
      </c>
      <c r="H54" s="415">
        <v>149116.26</v>
      </c>
      <c r="I54" s="415">
        <v>154727.29999999999</v>
      </c>
      <c r="J54" s="415">
        <f>159701.35+154727.3</f>
        <v>314428.65000000002</v>
      </c>
      <c r="K54" s="415">
        <v>155448.66</v>
      </c>
      <c r="L54" s="415"/>
      <c r="M54" s="415">
        <v>155193.67000000001</v>
      </c>
      <c r="N54" s="415">
        <f>155448.66+156325.43</f>
        <v>311774.08999999997</v>
      </c>
      <c r="O54" s="415">
        <v>145473.45000000001</v>
      </c>
      <c r="P54" s="415">
        <v>145473.45000000001</v>
      </c>
      <c r="Q54" s="415">
        <v>148212.66</v>
      </c>
      <c r="R54" s="415"/>
      <c r="S54" s="415">
        <v>148461.76999999999</v>
      </c>
      <c r="T54" s="416">
        <v>148212.66</v>
      </c>
      <c r="U54" s="416">
        <v>141093.19</v>
      </c>
      <c r="V54" s="416">
        <f>148461.77+141093.19</f>
        <v>289554.95999999996</v>
      </c>
      <c r="W54" s="416">
        <v>145889.76999999999</v>
      </c>
      <c r="X54" s="416"/>
      <c r="Y54" s="416">
        <v>150675.21</v>
      </c>
      <c r="Z54" s="416">
        <f>145889.77+150675.21+112881.69</f>
        <v>409446.67</v>
      </c>
      <c r="AA54" s="416">
        <v>112881.69</v>
      </c>
      <c r="AB54" s="416">
        <v>41737.74</v>
      </c>
      <c r="AC54" s="409">
        <f t="shared" si="4"/>
        <v>18699.929999999244</v>
      </c>
      <c r="AD54" s="581"/>
      <c r="AE54" s="419">
        <v>126396.43999999925</v>
      </c>
      <c r="AF54" s="587">
        <f t="shared" si="1"/>
        <v>1809744.4799999997</v>
      </c>
      <c r="AG54" s="587">
        <f t="shared" si="2"/>
        <v>1917440.9899999998</v>
      </c>
      <c r="AH54" s="587">
        <f t="shared" si="3"/>
        <v>18699.929999999236</v>
      </c>
    </row>
    <row r="55" spans="1:34" ht="30.75" customHeight="1" x14ac:dyDescent="0.75">
      <c r="A55" s="408" t="s">
        <v>51</v>
      </c>
      <c r="B55" s="409">
        <f>'2014-2015'!AC55</f>
        <v>286440</v>
      </c>
      <c r="C55" s="410"/>
      <c r="D55" s="411">
        <v>0</v>
      </c>
      <c r="E55" s="409">
        <v>237336</v>
      </c>
      <c r="F55" s="409">
        <v>237336</v>
      </c>
      <c r="G55" s="409">
        <v>237336</v>
      </c>
      <c r="H55" s="415">
        <f>237336+237336</f>
        <v>474672</v>
      </c>
      <c r="I55" s="415">
        <v>237336</v>
      </c>
      <c r="J55" s="415"/>
      <c r="K55" s="415">
        <v>237336</v>
      </c>
      <c r="L55" s="415">
        <v>237336</v>
      </c>
      <c r="M55" s="415">
        <v>237336</v>
      </c>
      <c r="N55" s="415">
        <v>237336</v>
      </c>
      <c r="O55" s="415">
        <v>237336</v>
      </c>
      <c r="P55" s="415">
        <v>237336</v>
      </c>
      <c r="Q55" s="415">
        <v>237336</v>
      </c>
      <c r="R55" s="415">
        <f>237336+237336</f>
        <v>474672</v>
      </c>
      <c r="S55" s="415">
        <v>237336</v>
      </c>
      <c r="T55" s="416"/>
      <c r="U55" s="416">
        <v>237336</v>
      </c>
      <c r="V55" s="416">
        <v>237336</v>
      </c>
      <c r="W55" s="416">
        <v>237336</v>
      </c>
      <c r="X55" s="416">
        <v>237336</v>
      </c>
      <c r="Y55" s="416">
        <v>237336</v>
      </c>
      <c r="Z55" s="416">
        <v>237336</v>
      </c>
      <c r="AA55" s="416">
        <v>237336</v>
      </c>
      <c r="AB55" s="416">
        <v>0</v>
      </c>
      <c r="AC55" s="409">
        <f t="shared" si="4"/>
        <v>523776</v>
      </c>
      <c r="AD55" s="581"/>
      <c r="AE55" s="419">
        <v>286440</v>
      </c>
      <c r="AF55" s="587">
        <f t="shared" si="1"/>
        <v>2848032</v>
      </c>
      <c r="AG55" s="587">
        <f t="shared" si="2"/>
        <v>2610696</v>
      </c>
      <c r="AH55" s="587">
        <f t="shared" si="3"/>
        <v>523776</v>
      </c>
    </row>
    <row r="56" spans="1:34" ht="30.75" customHeight="1" x14ac:dyDescent="0.75">
      <c r="A56" s="408" t="s">
        <v>366</v>
      </c>
      <c r="B56" s="409">
        <f>'2014-2015'!AC56</f>
        <v>226920.94000000163</v>
      </c>
      <c r="C56" s="410"/>
      <c r="D56" s="411">
        <v>0</v>
      </c>
      <c r="E56" s="409">
        <v>202077.62</v>
      </c>
      <c r="F56" s="409"/>
      <c r="G56" s="409">
        <v>181897.04</v>
      </c>
      <c r="H56" s="415"/>
      <c r="I56" s="415">
        <v>102308.18</v>
      </c>
      <c r="J56" s="415">
        <f>158172+38888.94+489423.1</f>
        <v>686484.04</v>
      </c>
      <c r="K56" s="415">
        <v>105363.84</v>
      </c>
      <c r="L56" s="415">
        <v>105363.84</v>
      </c>
      <c r="M56" s="415">
        <v>98926.55</v>
      </c>
      <c r="N56" s="415">
        <v>98926.55</v>
      </c>
      <c r="O56" s="415">
        <v>91061.56</v>
      </c>
      <c r="P56" s="415">
        <v>91061.56</v>
      </c>
      <c r="Q56" s="415">
        <v>93922.72</v>
      </c>
      <c r="R56" s="415">
        <v>93922.72</v>
      </c>
      <c r="S56" s="415">
        <v>105126.7</v>
      </c>
      <c r="T56" s="416">
        <v>105126.7</v>
      </c>
      <c r="U56" s="416">
        <v>91331.85</v>
      </c>
      <c r="V56" s="416">
        <v>91331.85</v>
      </c>
      <c r="W56" s="416">
        <v>88221.28</v>
      </c>
      <c r="X56" s="416">
        <v>88221.28</v>
      </c>
      <c r="Y56" s="416">
        <v>56295.74</v>
      </c>
      <c r="Z56" s="416">
        <f>56295.74</f>
        <v>56295.74</v>
      </c>
      <c r="AA56" s="416">
        <v>82568.929999999993</v>
      </c>
      <c r="AB56" s="416">
        <v>35821.480000000003</v>
      </c>
      <c r="AC56" s="409">
        <f t="shared" si="4"/>
        <v>145110.15000000165</v>
      </c>
      <c r="AD56" s="581"/>
      <c r="AE56" s="419">
        <v>226920.94000000163</v>
      </c>
      <c r="AF56" s="587">
        <f t="shared" si="1"/>
        <v>1334923.49</v>
      </c>
      <c r="AG56" s="587">
        <f t="shared" si="2"/>
        <v>1416734.28</v>
      </c>
      <c r="AH56" s="587">
        <f t="shared" si="3"/>
        <v>145110.15000000154</v>
      </c>
    </row>
    <row r="57" spans="1:34" ht="30.75" customHeight="1" x14ac:dyDescent="0.75">
      <c r="A57" s="408" t="s">
        <v>77</v>
      </c>
      <c r="B57" s="409">
        <f>'2014-2015'!AC57</f>
        <v>872336.0199999999</v>
      </c>
      <c r="C57" s="410"/>
      <c r="D57" s="411">
        <v>0</v>
      </c>
      <c r="E57" s="409">
        <v>44739.24</v>
      </c>
      <c r="F57" s="409"/>
      <c r="G57" s="409">
        <v>46120.03</v>
      </c>
      <c r="H57" s="415"/>
      <c r="I57" s="415">
        <v>44617.8</v>
      </c>
      <c r="J57" s="415"/>
      <c r="K57" s="415">
        <v>46384.36</v>
      </c>
      <c r="L57" s="415"/>
      <c r="M57" s="415">
        <v>49638.71</v>
      </c>
      <c r="N57" s="415"/>
      <c r="O57" s="415">
        <v>45753.8</v>
      </c>
      <c r="P57" s="415"/>
      <c r="Q57" s="415">
        <v>47317.66</v>
      </c>
      <c r="R57" s="415"/>
      <c r="S57" s="415">
        <v>1463.01</v>
      </c>
      <c r="T57" s="416"/>
      <c r="U57" s="416">
        <v>0</v>
      </c>
      <c r="V57" s="416"/>
      <c r="W57" s="416">
        <v>0</v>
      </c>
      <c r="X57" s="416"/>
      <c r="Y57" s="416">
        <v>0</v>
      </c>
      <c r="Z57" s="416"/>
      <c r="AA57" s="416">
        <v>114114.4</v>
      </c>
      <c r="AB57" s="416">
        <v>0</v>
      </c>
      <c r="AC57" s="409">
        <f t="shared" si="4"/>
        <v>1312485.0299999998</v>
      </c>
      <c r="AD57" s="581"/>
      <c r="AE57" s="419">
        <v>872336.0199999999</v>
      </c>
      <c r="AF57" s="587">
        <f t="shared" si="1"/>
        <v>440149.01</v>
      </c>
      <c r="AG57" s="587">
        <f t="shared" si="2"/>
        <v>0</v>
      </c>
      <c r="AH57" s="587">
        <f t="shared" si="3"/>
        <v>1312485.0299999998</v>
      </c>
    </row>
    <row r="58" spans="1:34" ht="30.75" customHeight="1" x14ac:dyDescent="0.75">
      <c r="A58" s="418" t="s">
        <v>56</v>
      </c>
      <c r="B58" s="409">
        <f>'2014-2015'!AC58</f>
        <v>325100.46999999997</v>
      </c>
      <c r="C58" s="410"/>
      <c r="D58" s="419">
        <v>0</v>
      </c>
      <c r="E58" s="420">
        <v>36440</v>
      </c>
      <c r="F58" s="420"/>
      <c r="G58" s="420">
        <v>36440</v>
      </c>
      <c r="H58" s="421"/>
      <c r="I58" s="421">
        <v>36440</v>
      </c>
      <c r="J58" s="421"/>
      <c r="K58" s="421">
        <v>36440</v>
      </c>
      <c r="L58" s="421"/>
      <c r="M58" s="421">
        <v>36440</v>
      </c>
      <c r="N58" s="421"/>
      <c r="O58" s="421">
        <v>36440</v>
      </c>
      <c r="P58" s="421"/>
      <c r="Q58" s="415">
        <v>36440</v>
      </c>
      <c r="R58" s="421"/>
      <c r="S58" s="421">
        <v>36440</v>
      </c>
      <c r="T58" s="422"/>
      <c r="U58" s="422">
        <v>36440</v>
      </c>
      <c r="V58" s="422"/>
      <c r="W58" s="422">
        <v>36440</v>
      </c>
      <c r="X58" s="422"/>
      <c r="Y58" s="422">
        <v>36440</v>
      </c>
      <c r="Z58" s="422"/>
      <c r="AA58" s="422">
        <v>36440</v>
      </c>
      <c r="AB58" s="422">
        <v>0</v>
      </c>
      <c r="AC58" s="409">
        <f t="shared" si="4"/>
        <v>762380.47</v>
      </c>
      <c r="AD58" s="581"/>
      <c r="AE58" s="419">
        <v>325100.46999999997</v>
      </c>
      <c r="AF58" s="587">
        <f t="shared" si="1"/>
        <v>437280</v>
      </c>
      <c r="AG58" s="587">
        <f t="shared" si="2"/>
        <v>0</v>
      </c>
      <c r="AH58" s="587">
        <f t="shared" si="3"/>
        <v>762380.47</v>
      </c>
    </row>
    <row r="59" spans="1:34" ht="30.75" customHeight="1" x14ac:dyDescent="0.75">
      <c r="A59" s="408" t="s">
        <v>66</v>
      </c>
      <c r="B59" s="409">
        <f>'2014-2015'!AC59</f>
        <v>151189.45000000013</v>
      </c>
      <c r="C59" s="410"/>
      <c r="D59" s="411">
        <v>0</v>
      </c>
      <c r="E59" s="409">
        <v>143735.39000000001</v>
      </c>
      <c r="F59" s="409">
        <v>145266.17000000001</v>
      </c>
      <c r="G59" s="409">
        <v>135186.79999999999</v>
      </c>
      <c r="H59" s="415">
        <v>143735.39000000001</v>
      </c>
      <c r="I59" s="415">
        <v>148487.22</v>
      </c>
      <c r="J59" s="415">
        <f>135186.8</f>
        <v>135186.79999999999</v>
      </c>
      <c r="K59" s="415">
        <v>146366.21</v>
      </c>
      <c r="L59" s="415">
        <v>148487.22</v>
      </c>
      <c r="M59" s="415">
        <v>161964.57</v>
      </c>
      <c r="N59" s="415">
        <v>146366.21</v>
      </c>
      <c r="O59" s="415">
        <v>165330.22</v>
      </c>
      <c r="P59" s="415">
        <v>161964.57</v>
      </c>
      <c r="Q59" s="415">
        <v>175765.37</v>
      </c>
      <c r="R59" s="415">
        <v>165330.22</v>
      </c>
      <c r="S59" s="415">
        <v>181220.34</v>
      </c>
      <c r="T59" s="416">
        <v>175765.37</v>
      </c>
      <c r="U59" s="416">
        <v>144818.51999999999</v>
      </c>
      <c r="V59" s="416">
        <f>144818.52+181220.34</f>
        <v>326038.86</v>
      </c>
      <c r="W59" s="416">
        <v>136786.66</v>
      </c>
      <c r="X59" s="416"/>
      <c r="Y59" s="416">
        <v>160486.5</v>
      </c>
      <c r="Z59" s="416">
        <f>136786.66+115088.61+160486.5</f>
        <v>412361.77</v>
      </c>
      <c r="AA59" s="416">
        <v>115088.61</v>
      </c>
      <c r="AB59" s="416">
        <v>39515.08</v>
      </c>
      <c r="AC59" s="409">
        <f t="shared" si="4"/>
        <v>45438.360000000044</v>
      </c>
      <c r="AD59" s="581"/>
      <c r="AE59" s="419">
        <v>151189.45000000013</v>
      </c>
      <c r="AF59" s="587">
        <f t="shared" si="1"/>
        <v>1854751.49</v>
      </c>
      <c r="AG59" s="587">
        <f t="shared" si="2"/>
        <v>1960502.58</v>
      </c>
      <c r="AH59" s="587">
        <f t="shared" si="3"/>
        <v>45438.360000000102</v>
      </c>
    </row>
    <row r="60" spans="1:34" ht="30.75" customHeight="1" x14ac:dyDescent="0.75">
      <c r="A60" s="408" t="s">
        <v>367</v>
      </c>
      <c r="B60" s="409">
        <f>'2014-2015'!AC60</f>
        <v>559197.42999999993</v>
      </c>
      <c r="C60" s="410"/>
      <c r="D60" s="411">
        <f>79830.22+27783.55</f>
        <v>107613.77</v>
      </c>
      <c r="E60" s="409">
        <v>100028.33</v>
      </c>
      <c r="F60" s="409">
        <v>100028.33</v>
      </c>
      <c r="G60" s="409">
        <v>102141.31</v>
      </c>
      <c r="H60" s="415"/>
      <c r="I60" s="415">
        <v>111733.99</v>
      </c>
      <c r="J60" s="415">
        <v>102141.31</v>
      </c>
      <c r="K60" s="415">
        <v>101555.34</v>
      </c>
      <c r="L60" s="415">
        <f>111733.99+101555.34</f>
        <v>213289.33000000002</v>
      </c>
      <c r="M60" s="415">
        <v>111544.72</v>
      </c>
      <c r="N60" s="415">
        <v>111544.72</v>
      </c>
      <c r="O60" s="415">
        <v>107155.7</v>
      </c>
      <c r="P60" s="415">
        <f>177145.1+107155.7</f>
        <v>284300.79999999999</v>
      </c>
      <c r="Q60" s="415">
        <v>113075.05</v>
      </c>
      <c r="R60" s="415">
        <v>113075.05</v>
      </c>
      <c r="S60" s="415">
        <v>110385.66</v>
      </c>
      <c r="T60" s="416">
        <v>110385.66</v>
      </c>
      <c r="U60" s="416">
        <v>102662.9</v>
      </c>
      <c r="V60" s="416">
        <v>102662.9</v>
      </c>
      <c r="W60" s="416">
        <v>89584.36</v>
      </c>
      <c r="X60" s="416">
        <v>89584.36</v>
      </c>
      <c r="Y60" s="416">
        <v>107546.58</v>
      </c>
      <c r="Z60" s="416">
        <v>107546.58</v>
      </c>
      <c r="AA60" s="416">
        <v>79137</v>
      </c>
      <c r="AB60" s="416">
        <v>24879.040000000001</v>
      </c>
      <c r="AC60" s="409">
        <f t="shared" si="4"/>
        <v>378454.5999999998</v>
      </c>
      <c r="AD60" s="581"/>
      <c r="AE60" s="419">
        <v>559197.42999999993</v>
      </c>
      <c r="AF60" s="587">
        <f t="shared" si="1"/>
        <v>1261429.9800000002</v>
      </c>
      <c r="AG60" s="587">
        <f t="shared" si="2"/>
        <v>1442172.81</v>
      </c>
      <c r="AH60" s="587">
        <f t="shared" si="3"/>
        <v>378454.60000000009</v>
      </c>
    </row>
    <row r="61" spans="1:34" ht="30.75" customHeight="1" x14ac:dyDescent="0.75">
      <c r="A61" s="408" t="s">
        <v>81</v>
      </c>
      <c r="B61" s="409">
        <f>'2014-2015'!AC61</f>
        <v>146440.08700000003</v>
      </c>
      <c r="C61" s="410"/>
      <c r="D61" s="411">
        <v>0</v>
      </c>
      <c r="E61" s="409">
        <v>28382.45</v>
      </c>
      <c r="F61" s="409">
        <f>29756.98</f>
        <v>29756.98</v>
      </c>
      <c r="G61" s="409">
        <v>29604.33</v>
      </c>
      <c r="H61" s="415">
        <f>28382.45+29604.33</f>
        <v>57986.78</v>
      </c>
      <c r="I61" s="415">
        <v>29056.11</v>
      </c>
      <c r="J61" s="415">
        <v>29056.11</v>
      </c>
      <c r="K61" s="415">
        <v>31396.13</v>
      </c>
      <c r="L61" s="415"/>
      <c r="M61" s="415">
        <v>30159.19</v>
      </c>
      <c r="N61" s="415">
        <v>31396.13</v>
      </c>
      <c r="O61" s="415">
        <v>31737.53</v>
      </c>
      <c r="P61" s="415">
        <v>31737.53</v>
      </c>
      <c r="Q61" s="415">
        <v>33349.81</v>
      </c>
      <c r="R61" s="415">
        <v>33349.81</v>
      </c>
      <c r="S61" s="415">
        <v>31809.34</v>
      </c>
      <c r="T61" s="416">
        <v>31809.34</v>
      </c>
      <c r="U61" s="416">
        <v>31685.9</v>
      </c>
      <c r="V61" s="416"/>
      <c r="W61" s="416">
        <v>32325.05</v>
      </c>
      <c r="X61" s="416"/>
      <c r="Y61" s="416">
        <v>48021.67</v>
      </c>
      <c r="Z61" s="416">
        <f>30553.24+24908.87</f>
        <v>55462.11</v>
      </c>
      <c r="AA61" s="416">
        <v>32642</v>
      </c>
      <c r="AB61" s="416">
        <v>7473.04</v>
      </c>
      <c r="AC61" s="409">
        <f t="shared" si="4"/>
        <v>243527.84700000004</v>
      </c>
      <c r="AD61" s="581"/>
      <c r="AE61" s="419">
        <v>146440.08700000003</v>
      </c>
      <c r="AF61" s="587">
        <f t="shared" si="1"/>
        <v>397642.54999999993</v>
      </c>
      <c r="AG61" s="587">
        <f t="shared" si="2"/>
        <v>300554.78999999998</v>
      </c>
      <c r="AH61" s="587">
        <f t="shared" si="3"/>
        <v>243527.84700000001</v>
      </c>
    </row>
    <row r="62" spans="1:34" ht="30.75" customHeight="1" x14ac:dyDescent="0.75">
      <c r="A62" s="408" t="s">
        <v>87</v>
      </c>
      <c r="B62" s="409">
        <f>'2014-2015'!AC62</f>
        <v>210338.7</v>
      </c>
      <c r="C62" s="410"/>
      <c r="D62" s="411">
        <v>0</v>
      </c>
      <c r="E62" s="409">
        <v>0</v>
      </c>
      <c r="F62" s="409"/>
      <c r="G62" s="409">
        <v>0</v>
      </c>
      <c r="H62" s="415"/>
      <c r="I62" s="415">
        <v>0</v>
      </c>
      <c r="J62" s="415"/>
      <c r="K62" s="415">
        <v>0</v>
      </c>
      <c r="L62" s="415"/>
      <c r="M62" s="415">
        <v>0</v>
      </c>
      <c r="N62" s="415"/>
      <c r="O62" s="415">
        <v>0</v>
      </c>
      <c r="P62" s="415"/>
      <c r="Q62" s="415">
        <v>0</v>
      </c>
      <c r="R62" s="415"/>
      <c r="S62" s="415">
        <v>0</v>
      </c>
      <c r="T62" s="416"/>
      <c r="U62" s="416">
        <v>0</v>
      </c>
      <c r="V62" s="416"/>
      <c r="W62" s="416">
        <v>0</v>
      </c>
      <c r="X62" s="416"/>
      <c r="Y62" s="416">
        <v>0</v>
      </c>
      <c r="Z62" s="416"/>
      <c r="AA62" s="416">
        <v>0</v>
      </c>
      <c r="AB62" s="416">
        <v>0</v>
      </c>
      <c r="AC62" s="409">
        <f t="shared" si="4"/>
        <v>210338.7</v>
      </c>
      <c r="AD62" s="581"/>
      <c r="AE62" s="419">
        <v>210338.7</v>
      </c>
      <c r="AF62" s="587">
        <f t="shared" si="1"/>
        <v>0</v>
      </c>
      <c r="AG62" s="587">
        <f t="shared" si="2"/>
        <v>0</v>
      </c>
      <c r="AH62" s="587">
        <f t="shared" si="3"/>
        <v>210338.7</v>
      </c>
    </row>
    <row r="63" spans="1:34" ht="30.75" customHeight="1" x14ac:dyDescent="0.75">
      <c r="A63" s="418" t="s">
        <v>312</v>
      </c>
      <c r="B63" s="409">
        <f>'2014-2015'!AC63</f>
        <v>217673.23</v>
      </c>
      <c r="C63" s="410"/>
      <c r="D63" s="419">
        <v>0</v>
      </c>
      <c r="E63" s="420">
        <v>0</v>
      </c>
      <c r="F63" s="420"/>
      <c r="G63" s="420">
        <v>0</v>
      </c>
      <c r="H63" s="421"/>
      <c r="I63" s="421">
        <v>4156.5600000000004</v>
      </c>
      <c r="J63" s="421"/>
      <c r="K63" s="421">
        <v>11533.5</v>
      </c>
      <c r="L63" s="421"/>
      <c r="M63" s="421">
        <v>0</v>
      </c>
      <c r="N63" s="421"/>
      <c r="O63" s="421">
        <v>0</v>
      </c>
      <c r="P63" s="421"/>
      <c r="Q63" s="415">
        <v>2923.11</v>
      </c>
      <c r="R63" s="421"/>
      <c r="S63" s="421">
        <v>27996.68</v>
      </c>
      <c r="T63" s="422"/>
      <c r="U63" s="422">
        <v>0</v>
      </c>
      <c r="V63" s="422"/>
      <c r="W63" s="422">
        <v>0</v>
      </c>
      <c r="X63" s="422"/>
      <c r="Y63" s="422">
        <v>0</v>
      </c>
      <c r="Z63" s="422"/>
      <c r="AA63" s="422">
        <v>0</v>
      </c>
      <c r="AB63" s="422">
        <v>0</v>
      </c>
      <c r="AC63" s="409">
        <f t="shared" si="4"/>
        <v>264283.08</v>
      </c>
      <c r="AD63" s="581"/>
      <c r="AE63" s="419">
        <v>217673.23</v>
      </c>
      <c r="AF63" s="587">
        <f t="shared" si="1"/>
        <v>46609.850000000006</v>
      </c>
      <c r="AG63" s="587">
        <f t="shared" si="2"/>
        <v>0</v>
      </c>
      <c r="AH63" s="587">
        <f t="shared" si="3"/>
        <v>264283.08</v>
      </c>
    </row>
    <row r="64" spans="1:34" ht="30.75" customHeight="1" x14ac:dyDescent="0.75">
      <c r="A64" s="408" t="s">
        <v>48</v>
      </c>
      <c r="B64" s="409">
        <f>'2014-2015'!AC64</f>
        <v>252063.71999999994</v>
      </c>
      <c r="C64" s="410"/>
      <c r="D64" s="411">
        <v>31553.21</v>
      </c>
      <c r="E64" s="409">
        <v>31140.400000000001</v>
      </c>
      <c r="F64" s="409"/>
      <c r="G64" s="409">
        <v>7657.13</v>
      </c>
      <c r="H64" s="415"/>
      <c r="I64" s="415">
        <v>11962.16</v>
      </c>
      <c r="J64" s="415"/>
      <c r="K64" s="415">
        <v>4920.07</v>
      </c>
      <c r="L64" s="415"/>
      <c r="M64" s="415">
        <v>50.16</v>
      </c>
      <c r="N64" s="415"/>
      <c r="O64" s="415">
        <v>3974.88</v>
      </c>
      <c r="P64" s="415"/>
      <c r="Q64" s="415">
        <v>29341.07</v>
      </c>
      <c r="R64" s="415">
        <f>65230.71+67031.83+4165.13</f>
        <v>136427.67000000001</v>
      </c>
      <c r="S64" s="415">
        <v>10627.45</v>
      </c>
      <c r="T64" s="416"/>
      <c r="U64" s="416">
        <v>19711.8</v>
      </c>
      <c r="V64" s="416"/>
      <c r="W64" s="416">
        <v>4762.45</v>
      </c>
      <c r="X64" s="416"/>
      <c r="Y64" s="416">
        <v>0</v>
      </c>
      <c r="Z64" s="416">
        <f>10962.13</f>
        <v>10962.13</v>
      </c>
      <c r="AA64" s="416">
        <v>24899.05</v>
      </c>
      <c r="AB64" s="416">
        <v>0</v>
      </c>
      <c r="AC64" s="409">
        <f t="shared" si="4"/>
        <v>222167.32999999993</v>
      </c>
      <c r="AD64" s="581"/>
      <c r="AE64" s="419">
        <v>252063.71999999994</v>
      </c>
      <c r="AF64" s="587">
        <f t="shared" si="1"/>
        <v>149046.62</v>
      </c>
      <c r="AG64" s="587">
        <f t="shared" si="2"/>
        <v>178943.01</v>
      </c>
      <c r="AH64" s="587">
        <f t="shared" si="3"/>
        <v>222167.32999999996</v>
      </c>
    </row>
    <row r="65" spans="1:34" ht="30.75" customHeight="1" x14ac:dyDescent="0.75">
      <c r="A65" s="408" t="s">
        <v>79</v>
      </c>
      <c r="B65" s="409">
        <f>'2014-2015'!AC65</f>
        <v>182653.97999999998</v>
      </c>
      <c r="C65" s="410"/>
      <c r="D65" s="411">
        <v>0</v>
      </c>
      <c r="E65" s="409">
        <v>0</v>
      </c>
      <c r="F65" s="409"/>
      <c r="G65" s="409">
        <v>0</v>
      </c>
      <c r="H65" s="415"/>
      <c r="I65" s="415">
        <v>0</v>
      </c>
      <c r="J65" s="415"/>
      <c r="K65" s="415">
        <v>0</v>
      </c>
      <c r="L65" s="415"/>
      <c r="M65" s="415">
        <v>0</v>
      </c>
      <c r="N65" s="415"/>
      <c r="O65" s="415">
        <v>0</v>
      </c>
      <c r="P65" s="415"/>
      <c r="Q65" s="415">
        <v>0</v>
      </c>
      <c r="R65" s="415"/>
      <c r="S65" s="415">
        <v>0</v>
      </c>
      <c r="T65" s="416"/>
      <c r="U65" s="416">
        <v>0</v>
      </c>
      <c r="V65" s="416"/>
      <c r="W65" s="416">
        <v>0</v>
      </c>
      <c r="X65" s="416"/>
      <c r="Y65" s="416">
        <v>0</v>
      </c>
      <c r="Z65" s="416"/>
      <c r="AA65" s="416">
        <v>0</v>
      </c>
      <c r="AB65" s="416">
        <v>0</v>
      </c>
      <c r="AC65" s="409">
        <f t="shared" si="4"/>
        <v>182653.97999999998</v>
      </c>
      <c r="AD65" s="581"/>
      <c r="AE65" s="419">
        <v>182653.97999999998</v>
      </c>
      <c r="AF65" s="587">
        <f t="shared" si="1"/>
        <v>0</v>
      </c>
      <c r="AG65" s="587">
        <f t="shared" si="2"/>
        <v>0</v>
      </c>
      <c r="AH65" s="587">
        <f t="shared" si="3"/>
        <v>182653.97999999998</v>
      </c>
    </row>
    <row r="66" spans="1:34" ht="30.75" customHeight="1" x14ac:dyDescent="0.75">
      <c r="A66" s="408" t="s">
        <v>93</v>
      </c>
      <c r="B66" s="409">
        <f>'2014-2015'!AC66</f>
        <v>143834.67000000001</v>
      </c>
      <c r="C66" s="410"/>
      <c r="D66" s="411">
        <v>0</v>
      </c>
      <c r="E66" s="409">
        <v>0</v>
      </c>
      <c r="F66" s="409"/>
      <c r="G66" s="409">
        <v>0</v>
      </c>
      <c r="H66" s="415"/>
      <c r="I66" s="415">
        <v>0</v>
      </c>
      <c r="J66" s="415"/>
      <c r="K66" s="415">
        <v>0</v>
      </c>
      <c r="L66" s="415"/>
      <c r="M66" s="415">
        <v>0</v>
      </c>
      <c r="N66" s="415"/>
      <c r="O66" s="415">
        <v>0</v>
      </c>
      <c r="P66" s="415"/>
      <c r="Q66" s="415">
        <v>0</v>
      </c>
      <c r="R66" s="415"/>
      <c r="S66" s="415">
        <v>0</v>
      </c>
      <c r="T66" s="416"/>
      <c r="U66" s="416">
        <v>0</v>
      </c>
      <c r="V66" s="416"/>
      <c r="W66" s="416">
        <v>0</v>
      </c>
      <c r="X66" s="416"/>
      <c r="Y66" s="416">
        <v>0</v>
      </c>
      <c r="Z66" s="416"/>
      <c r="AA66" s="416">
        <v>0</v>
      </c>
      <c r="AB66" s="416">
        <v>0</v>
      </c>
      <c r="AC66" s="409">
        <f t="shared" si="4"/>
        <v>143834.67000000001</v>
      </c>
      <c r="AD66" s="581"/>
      <c r="AE66" s="419">
        <v>143834.67000000001</v>
      </c>
      <c r="AF66" s="587">
        <f t="shared" si="1"/>
        <v>0</v>
      </c>
      <c r="AG66" s="587">
        <f t="shared" si="2"/>
        <v>0</v>
      </c>
      <c r="AH66" s="587">
        <f t="shared" si="3"/>
        <v>143834.67000000001</v>
      </c>
    </row>
    <row r="67" spans="1:34" ht="30.75" customHeight="1" x14ac:dyDescent="0.75">
      <c r="A67" s="408" t="s">
        <v>368</v>
      </c>
      <c r="B67" s="409">
        <f>'2014-2015'!AC67</f>
        <v>593200.7000000003</v>
      </c>
      <c r="C67" s="410"/>
      <c r="D67" s="411">
        <f>295855.93+297344.71</f>
        <v>593200.64000000001</v>
      </c>
      <c r="E67" s="409">
        <v>375627.92</v>
      </c>
      <c r="F67" s="409">
        <v>375627.92</v>
      </c>
      <c r="G67" s="409">
        <v>357446.92</v>
      </c>
      <c r="H67" s="415">
        <v>357446.92</v>
      </c>
      <c r="I67" s="415">
        <v>414287.82</v>
      </c>
      <c r="J67" s="415">
        <v>414287.82</v>
      </c>
      <c r="K67" s="415">
        <v>353804.87</v>
      </c>
      <c r="L67" s="415"/>
      <c r="M67" s="415">
        <v>482561.81</v>
      </c>
      <c r="N67" s="415">
        <f>353804.87+482561.81</f>
        <v>836366.67999999993</v>
      </c>
      <c r="O67" s="415">
        <v>701390.54</v>
      </c>
      <c r="P67" s="415">
        <v>701390.54</v>
      </c>
      <c r="Q67" s="415">
        <v>743739.73</v>
      </c>
      <c r="R67" s="415">
        <v>743739.73</v>
      </c>
      <c r="S67" s="415">
        <v>486370.52</v>
      </c>
      <c r="T67" s="416">
        <v>486370.52</v>
      </c>
      <c r="U67" s="416">
        <v>497299.08</v>
      </c>
      <c r="V67" s="416"/>
      <c r="W67" s="416">
        <v>446222.39</v>
      </c>
      <c r="X67" s="416">
        <v>497299.08</v>
      </c>
      <c r="Y67" s="416">
        <v>606223.53</v>
      </c>
      <c r="Z67" s="416">
        <f>446222.39+606223.53</f>
        <v>1052445.92</v>
      </c>
      <c r="AA67" s="416">
        <v>336554.34</v>
      </c>
      <c r="AB67" s="416">
        <v>190535.12</v>
      </c>
      <c r="AC67" s="409">
        <f t="shared" si="4"/>
        <v>527089.52000000025</v>
      </c>
      <c r="AD67" s="581"/>
      <c r="AE67" s="419">
        <v>593200.7000000003</v>
      </c>
      <c r="AF67" s="587">
        <f t="shared" si="1"/>
        <v>5992064.5899999999</v>
      </c>
      <c r="AG67" s="587">
        <f t="shared" si="2"/>
        <v>6058175.7699999996</v>
      </c>
      <c r="AH67" s="587">
        <f t="shared" si="3"/>
        <v>527089.52000000048</v>
      </c>
    </row>
    <row r="68" spans="1:34" ht="30.75" customHeight="1" x14ac:dyDescent="0.75">
      <c r="A68" s="408" t="s">
        <v>78</v>
      </c>
      <c r="B68" s="409">
        <f>'2014-2015'!AC68</f>
        <v>2.9103830456733704E-11</v>
      </c>
      <c r="C68" s="410"/>
      <c r="D68" s="411">
        <v>0</v>
      </c>
      <c r="E68" s="409">
        <v>0</v>
      </c>
      <c r="F68" s="409"/>
      <c r="G68" s="409">
        <v>0</v>
      </c>
      <c r="H68" s="415"/>
      <c r="I68" s="415">
        <v>0</v>
      </c>
      <c r="J68" s="415"/>
      <c r="K68" s="415">
        <v>0</v>
      </c>
      <c r="L68" s="415"/>
      <c r="M68" s="415">
        <v>0</v>
      </c>
      <c r="N68" s="415"/>
      <c r="O68" s="415">
        <v>0</v>
      </c>
      <c r="P68" s="415"/>
      <c r="Q68" s="415">
        <v>0</v>
      </c>
      <c r="R68" s="415"/>
      <c r="S68" s="415">
        <v>0</v>
      </c>
      <c r="T68" s="416"/>
      <c r="U68" s="416">
        <v>0</v>
      </c>
      <c r="V68" s="416"/>
      <c r="W68" s="416">
        <v>0</v>
      </c>
      <c r="X68" s="416"/>
      <c r="Y68" s="416">
        <v>0</v>
      </c>
      <c r="Z68" s="416"/>
      <c r="AA68" s="416">
        <v>0</v>
      </c>
      <c r="AB68" s="416">
        <v>0</v>
      </c>
      <c r="AC68" s="409">
        <f t="shared" si="4"/>
        <v>2.9103830456733704E-11</v>
      </c>
      <c r="AD68" s="581"/>
      <c r="AE68" s="419">
        <v>2.9103830456733704E-11</v>
      </c>
      <c r="AF68" s="587">
        <f t="shared" si="1"/>
        <v>0</v>
      </c>
      <c r="AG68" s="587">
        <f t="shared" si="2"/>
        <v>0</v>
      </c>
      <c r="AH68" s="587">
        <f t="shared" si="3"/>
        <v>2.9103830456733704E-11</v>
      </c>
    </row>
    <row r="69" spans="1:34" ht="30.75" customHeight="1" x14ac:dyDescent="0.75">
      <c r="A69" s="408" t="s">
        <v>187</v>
      </c>
      <c r="B69" s="409">
        <f>'2014-2015'!AC69</f>
        <v>119312.08000000031</v>
      </c>
      <c r="C69" s="410"/>
      <c r="D69" s="411">
        <v>0</v>
      </c>
      <c r="E69" s="409">
        <v>0</v>
      </c>
      <c r="F69" s="409"/>
      <c r="G69" s="409">
        <v>0</v>
      </c>
      <c r="H69" s="415"/>
      <c r="I69" s="415">
        <v>0</v>
      </c>
      <c r="J69" s="415"/>
      <c r="K69" s="415">
        <v>0</v>
      </c>
      <c r="L69" s="415"/>
      <c r="M69" s="415">
        <v>0</v>
      </c>
      <c r="N69" s="415"/>
      <c r="O69" s="415">
        <v>0</v>
      </c>
      <c r="P69" s="415"/>
      <c r="Q69" s="415">
        <v>0</v>
      </c>
      <c r="R69" s="415"/>
      <c r="S69" s="415">
        <v>0</v>
      </c>
      <c r="T69" s="416"/>
      <c r="U69" s="416">
        <v>0</v>
      </c>
      <c r="V69" s="416"/>
      <c r="W69" s="416">
        <v>0</v>
      </c>
      <c r="X69" s="416"/>
      <c r="Y69" s="416">
        <v>0</v>
      </c>
      <c r="Z69" s="416"/>
      <c r="AA69" s="416">
        <v>0</v>
      </c>
      <c r="AB69" s="416">
        <v>0</v>
      </c>
      <c r="AC69" s="409">
        <f t="shared" si="4"/>
        <v>119312.08000000031</v>
      </c>
      <c r="AD69" s="581"/>
      <c r="AE69" s="419">
        <v>119312.08000000031</v>
      </c>
      <c r="AF69" s="587">
        <f t="shared" si="1"/>
        <v>0</v>
      </c>
      <c r="AG69" s="587">
        <f t="shared" si="2"/>
        <v>0</v>
      </c>
      <c r="AH69" s="587">
        <f t="shared" si="3"/>
        <v>119312.08000000031</v>
      </c>
    </row>
    <row r="70" spans="1:34" ht="30.75" customHeight="1" x14ac:dyDescent="0.75">
      <c r="A70" s="418" t="s">
        <v>314</v>
      </c>
      <c r="B70" s="409">
        <f>'2014-2015'!AC70</f>
        <v>102811.37</v>
      </c>
      <c r="C70" s="410"/>
      <c r="D70" s="419">
        <v>0</v>
      </c>
      <c r="E70" s="420">
        <v>0</v>
      </c>
      <c r="F70" s="420"/>
      <c r="G70" s="420">
        <v>0</v>
      </c>
      <c r="H70" s="421"/>
      <c r="I70" s="421">
        <v>0</v>
      </c>
      <c r="J70" s="421"/>
      <c r="K70" s="421">
        <v>0</v>
      </c>
      <c r="L70" s="421"/>
      <c r="M70" s="421">
        <v>0</v>
      </c>
      <c r="N70" s="421"/>
      <c r="O70" s="421">
        <v>0</v>
      </c>
      <c r="P70" s="421"/>
      <c r="Q70" s="415">
        <v>0</v>
      </c>
      <c r="R70" s="421"/>
      <c r="S70" s="421">
        <v>1539.67</v>
      </c>
      <c r="T70" s="422"/>
      <c r="U70" s="422">
        <v>0</v>
      </c>
      <c r="V70" s="422"/>
      <c r="W70" s="422">
        <v>0</v>
      </c>
      <c r="X70" s="422"/>
      <c r="Y70" s="422">
        <v>0</v>
      </c>
      <c r="Z70" s="422"/>
      <c r="AA70" s="422">
        <v>0</v>
      </c>
      <c r="AB70" s="422">
        <v>0</v>
      </c>
      <c r="AC70" s="409">
        <f t="shared" ref="AC70:AC101" si="5">B70-C70-D70+E70-F70+G70-H70+I70-J70+K70-L70+M70-N70+O70-P70+Q70-R70+S70-T70+U70-V70+W70-X70+Y70-Z70+AA70+AB70</f>
        <v>104351.03999999999</v>
      </c>
      <c r="AD70" s="581"/>
      <c r="AE70" s="419">
        <v>102811.37</v>
      </c>
      <c r="AF70" s="587">
        <f t="shared" si="1"/>
        <v>1539.67</v>
      </c>
      <c r="AG70" s="587">
        <f t="shared" si="2"/>
        <v>0</v>
      </c>
      <c r="AH70" s="587">
        <f t="shared" si="3"/>
        <v>104351.03999999999</v>
      </c>
    </row>
    <row r="71" spans="1:34" ht="30.75" customHeight="1" x14ac:dyDescent="0.75">
      <c r="A71" s="418" t="s">
        <v>83</v>
      </c>
      <c r="B71" s="409">
        <f>'2014-2015'!AC71</f>
        <v>223015.96000000002</v>
      </c>
      <c r="C71" s="410"/>
      <c r="D71" s="419">
        <v>49774.67</v>
      </c>
      <c r="E71" s="420">
        <v>27566.14</v>
      </c>
      <c r="F71" s="420"/>
      <c r="G71" s="420">
        <v>30361.79</v>
      </c>
      <c r="H71" s="421"/>
      <c r="I71" s="421">
        <v>26401.200000000001</v>
      </c>
      <c r="J71" s="421"/>
      <c r="K71" s="421">
        <v>29490.51</v>
      </c>
      <c r="L71" s="421">
        <f>231092.27+29490.51</f>
        <v>260582.78</v>
      </c>
      <c r="M71" s="421">
        <v>31855.27</v>
      </c>
      <c r="N71" s="421">
        <v>11949.76</v>
      </c>
      <c r="O71" s="421">
        <v>30061.1</v>
      </c>
      <c r="P71" s="421">
        <v>31855.27</v>
      </c>
      <c r="Q71" s="415">
        <v>30699.37</v>
      </c>
      <c r="R71" s="421">
        <v>30061.1</v>
      </c>
      <c r="S71" s="421">
        <v>29222.99</v>
      </c>
      <c r="T71" s="422">
        <v>30699.37</v>
      </c>
      <c r="U71" s="422">
        <v>5845.28</v>
      </c>
      <c r="V71" s="422"/>
      <c r="W71" s="422">
        <v>1347.4</v>
      </c>
      <c r="X71" s="422">
        <v>29222.99</v>
      </c>
      <c r="Y71" s="422">
        <v>4335</v>
      </c>
      <c r="Z71" s="422">
        <v>7192.68</v>
      </c>
      <c r="AA71" s="422">
        <v>0</v>
      </c>
      <c r="AB71" s="422">
        <v>2659.72</v>
      </c>
      <c r="AC71" s="409">
        <f t="shared" si="5"/>
        <v>21523.110000000048</v>
      </c>
      <c r="AD71" s="581"/>
      <c r="AE71" s="419">
        <v>223015.96000000002</v>
      </c>
      <c r="AF71" s="587">
        <f t="shared" ref="AF71:AF110" si="6">E71+G71+I71+K71+M71+O71+Q71+S71+U71+W71+Y71+AA71+AB71</f>
        <v>249845.77</v>
      </c>
      <c r="AG71" s="587">
        <f t="shared" ref="AG71:AG110" si="7">D71+F71+H71+J71+L71+N71+P71+R71+T71+V71+X71+Z71</f>
        <v>451338.62</v>
      </c>
      <c r="AH71" s="587">
        <f t="shared" ref="AH71:AH110" si="8">AE71+AF71-AG71</f>
        <v>21523.109999999986</v>
      </c>
    </row>
    <row r="72" spans="1:34" ht="30.75" customHeight="1" x14ac:dyDescent="0.75">
      <c r="A72" s="423" t="s">
        <v>112</v>
      </c>
      <c r="B72" s="409">
        <f>'2014-2015'!AC72</f>
        <v>54257.82</v>
      </c>
      <c r="C72" s="410"/>
      <c r="D72" s="411">
        <v>0</v>
      </c>
      <c r="E72" s="409">
        <v>0</v>
      </c>
      <c r="F72" s="409"/>
      <c r="G72" s="409">
        <v>0</v>
      </c>
      <c r="H72" s="415"/>
      <c r="I72" s="415">
        <v>0</v>
      </c>
      <c r="J72" s="415"/>
      <c r="K72" s="415">
        <v>0</v>
      </c>
      <c r="L72" s="415"/>
      <c r="M72" s="415">
        <v>0</v>
      </c>
      <c r="N72" s="415"/>
      <c r="O72" s="415">
        <v>0</v>
      </c>
      <c r="P72" s="415"/>
      <c r="Q72" s="415">
        <v>0</v>
      </c>
      <c r="R72" s="415"/>
      <c r="S72" s="415">
        <v>0</v>
      </c>
      <c r="T72" s="416"/>
      <c r="U72" s="416">
        <v>0</v>
      </c>
      <c r="V72" s="416"/>
      <c r="W72" s="416">
        <v>0</v>
      </c>
      <c r="X72" s="416"/>
      <c r="Y72" s="416">
        <v>0</v>
      </c>
      <c r="Z72" s="416"/>
      <c r="AA72" s="416">
        <v>0</v>
      </c>
      <c r="AB72" s="416">
        <v>0</v>
      </c>
      <c r="AC72" s="409">
        <f t="shared" si="5"/>
        <v>54257.82</v>
      </c>
      <c r="AD72" s="581"/>
      <c r="AE72" s="419">
        <v>54257.82</v>
      </c>
      <c r="AF72" s="587">
        <f t="shared" si="6"/>
        <v>0</v>
      </c>
      <c r="AG72" s="587">
        <f t="shared" si="7"/>
        <v>0</v>
      </c>
      <c r="AH72" s="587">
        <f t="shared" si="8"/>
        <v>54257.82</v>
      </c>
    </row>
    <row r="73" spans="1:34" ht="30.75" customHeight="1" x14ac:dyDescent="0.75">
      <c r="A73" s="408" t="s">
        <v>190</v>
      </c>
      <c r="B73" s="409">
        <f>'2014-2015'!AC73</f>
        <v>50893.020000000004</v>
      </c>
      <c r="C73" s="410"/>
      <c r="D73" s="411">
        <v>0</v>
      </c>
      <c r="E73" s="409">
        <v>0</v>
      </c>
      <c r="F73" s="409"/>
      <c r="G73" s="409">
        <v>0</v>
      </c>
      <c r="H73" s="415"/>
      <c r="I73" s="415">
        <v>0</v>
      </c>
      <c r="J73" s="415"/>
      <c r="K73" s="415">
        <v>0</v>
      </c>
      <c r="L73" s="415"/>
      <c r="M73" s="415">
        <v>0</v>
      </c>
      <c r="N73" s="415"/>
      <c r="O73" s="415">
        <v>0</v>
      </c>
      <c r="P73" s="415"/>
      <c r="Q73" s="415">
        <v>0</v>
      </c>
      <c r="R73" s="415"/>
      <c r="S73" s="415">
        <v>0</v>
      </c>
      <c r="T73" s="416"/>
      <c r="U73" s="416">
        <v>0</v>
      </c>
      <c r="V73" s="416"/>
      <c r="W73" s="416">
        <v>0</v>
      </c>
      <c r="X73" s="416"/>
      <c r="Y73" s="416">
        <v>0</v>
      </c>
      <c r="Z73" s="416"/>
      <c r="AA73" s="416">
        <v>0</v>
      </c>
      <c r="AB73" s="416">
        <v>0</v>
      </c>
      <c r="AC73" s="409">
        <f t="shared" si="5"/>
        <v>50893.020000000004</v>
      </c>
      <c r="AD73" s="581"/>
      <c r="AE73" s="419">
        <v>50893.020000000004</v>
      </c>
      <c r="AF73" s="587">
        <f t="shared" si="6"/>
        <v>0</v>
      </c>
      <c r="AG73" s="587">
        <f t="shared" si="7"/>
        <v>0</v>
      </c>
      <c r="AH73" s="587">
        <f t="shared" si="8"/>
        <v>50893.020000000004</v>
      </c>
    </row>
    <row r="74" spans="1:34" ht="30.75" customHeight="1" x14ac:dyDescent="0.75">
      <c r="A74" s="408" t="s">
        <v>195</v>
      </c>
      <c r="B74" s="409">
        <f>'2014-2015'!AC74</f>
        <v>46506.37</v>
      </c>
      <c r="C74" s="410"/>
      <c r="D74" s="411">
        <v>0</v>
      </c>
      <c r="E74" s="409">
        <v>0</v>
      </c>
      <c r="F74" s="409"/>
      <c r="G74" s="409">
        <v>0</v>
      </c>
      <c r="H74" s="415"/>
      <c r="I74" s="415">
        <v>0</v>
      </c>
      <c r="J74" s="415"/>
      <c r="K74" s="415">
        <v>0</v>
      </c>
      <c r="L74" s="415"/>
      <c r="M74" s="415">
        <v>8773.01</v>
      </c>
      <c r="N74" s="415"/>
      <c r="O74" s="415">
        <v>0</v>
      </c>
      <c r="P74" s="415"/>
      <c r="Q74" s="415">
        <v>5164.63</v>
      </c>
      <c r="R74" s="415"/>
      <c r="S74" s="415">
        <v>0</v>
      </c>
      <c r="T74" s="416"/>
      <c r="U74" s="416">
        <v>2846.21</v>
      </c>
      <c r="V74" s="416"/>
      <c r="W74" s="416">
        <v>0</v>
      </c>
      <c r="X74" s="416"/>
      <c r="Y74" s="416">
        <v>16122.32</v>
      </c>
      <c r="Z74" s="416"/>
      <c r="AA74" s="416">
        <v>31369.84</v>
      </c>
      <c r="AB74" s="416">
        <v>17904.759999999998</v>
      </c>
      <c r="AC74" s="409">
        <f t="shared" si="5"/>
        <v>128687.14</v>
      </c>
      <c r="AD74" s="581"/>
      <c r="AE74" s="419">
        <v>46506.37</v>
      </c>
      <c r="AF74" s="587">
        <f t="shared" si="6"/>
        <v>82180.76999999999</v>
      </c>
      <c r="AG74" s="587">
        <f t="shared" si="7"/>
        <v>0</v>
      </c>
      <c r="AH74" s="587">
        <f t="shared" si="8"/>
        <v>128687.13999999998</v>
      </c>
    </row>
    <row r="75" spans="1:34" ht="30.75" customHeight="1" x14ac:dyDescent="0.75">
      <c r="A75" s="408" t="s">
        <v>52</v>
      </c>
      <c r="B75" s="409">
        <f>'2014-2015'!AC75</f>
        <v>1063670.2100000009</v>
      </c>
      <c r="C75" s="410"/>
      <c r="D75" s="411">
        <v>22852.639999999999</v>
      </c>
      <c r="E75" s="409">
        <v>33534.949999999997</v>
      </c>
      <c r="F75" s="409"/>
      <c r="G75" s="409">
        <v>25010.06</v>
      </c>
      <c r="H75" s="415"/>
      <c r="I75" s="415">
        <v>8740.5</v>
      </c>
      <c r="J75" s="415"/>
      <c r="K75" s="415">
        <v>8282.1299999999992</v>
      </c>
      <c r="L75" s="415">
        <v>8740.5</v>
      </c>
      <c r="M75" s="415">
        <v>7873.18</v>
      </c>
      <c r="N75" s="415">
        <f>8282.13+7873.18+33534.95+25010.06</f>
        <v>74700.319999999992</v>
      </c>
      <c r="O75" s="415">
        <v>7528.39</v>
      </c>
      <c r="P75" s="415">
        <f>7528.39</f>
        <v>7528.39</v>
      </c>
      <c r="Q75" s="415">
        <v>16155.63</v>
      </c>
      <c r="R75" s="415">
        <f>16155.63</f>
        <v>16155.63</v>
      </c>
      <c r="S75" s="415">
        <v>16842.45</v>
      </c>
      <c r="T75" s="416"/>
      <c r="U75" s="416">
        <v>13429.97</v>
      </c>
      <c r="V75" s="416"/>
      <c r="W75" s="416">
        <v>11182.93</v>
      </c>
      <c r="X75" s="416">
        <v>13429.97</v>
      </c>
      <c r="Y75" s="416">
        <v>11114.99</v>
      </c>
      <c r="Z75" s="416">
        <f>16842.45+11182.93+11114.99</f>
        <v>39140.370000000003</v>
      </c>
      <c r="AA75" s="416">
        <v>6696.5</v>
      </c>
      <c r="AB75" s="416">
        <v>4569.93</v>
      </c>
      <c r="AC75" s="409">
        <f t="shared" si="5"/>
        <v>1052084.0000000009</v>
      </c>
      <c r="AD75" s="581"/>
      <c r="AE75" s="419">
        <v>1063670.2100000009</v>
      </c>
      <c r="AF75" s="587">
        <f t="shared" si="6"/>
        <v>170961.61</v>
      </c>
      <c r="AG75" s="587">
        <f t="shared" si="7"/>
        <v>182547.81999999998</v>
      </c>
      <c r="AH75" s="587">
        <f t="shared" si="8"/>
        <v>1052084.0000000007</v>
      </c>
    </row>
    <row r="76" spans="1:34" ht="30.75" customHeight="1" x14ac:dyDescent="0.75">
      <c r="A76" s="408" t="s">
        <v>55</v>
      </c>
      <c r="B76" s="409">
        <f>'2014-2015'!AC76</f>
        <v>41234.68</v>
      </c>
      <c r="C76" s="410"/>
      <c r="D76" s="411">
        <v>0</v>
      </c>
      <c r="E76" s="409">
        <v>0</v>
      </c>
      <c r="F76" s="409"/>
      <c r="G76" s="409">
        <v>0</v>
      </c>
      <c r="H76" s="415"/>
      <c r="I76" s="415">
        <v>0</v>
      </c>
      <c r="J76" s="415"/>
      <c r="K76" s="415">
        <v>0</v>
      </c>
      <c r="L76" s="415"/>
      <c r="M76" s="415">
        <v>0</v>
      </c>
      <c r="N76" s="415"/>
      <c r="O76" s="415">
        <v>0</v>
      </c>
      <c r="P76" s="415"/>
      <c r="Q76" s="415">
        <v>0</v>
      </c>
      <c r="R76" s="415"/>
      <c r="S76" s="415">
        <v>0</v>
      </c>
      <c r="T76" s="416"/>
      <c r="U76" s="416">
        <v>0</v>
      </c>
      <c r="V76" s="416"/>
      <c r="W76" s="416">
        <v>0</v>
      </c>
      <c r="X76" s="416"/>
      <c r="Y76" s="416">
        <v>0</v>
      </c>
      <c r="Z76" s="416"/>
      <c r="AA76" s="416">
        <v>0</v>
      </c>
      <c r="AB76" s="416">
        <v>0</v>
      </c>
      <c r="AC76" s="409">
        <f t="shared" si="5"/>
        <v>41234.68</v>
      </c>
      <c r="AD76" s="581"/>
      <c r="AE76" s="419">
        <v>41234.68</v>
      </c>
      <c r="AF76" s="587">
        <f t="shared" si="6"/>
        <v>0</v>
      </c>
      <c r="AG76" s="587">
        <f t="shared" si="7"/>
        <v>0</v>
      </c>
      <c r="AH76" s="587">
        <f t="shared" si="8"/>
        <v>41234.68</v>
      </c>
    </row>
    <row r="77" spans="1:34" ht="30.75" customHeight="1" x14ac:dyDescent="0.75">
      <c r="A77" s="418" t="s">
        <v>311</v>
      </c>
      <c r="B77" s="409">
        <f>'2014-2015'!AC77</f>
        <v>39585.07</v>
      </c>
      <c r="C77" s="410"/>
      <c r="D77" s="419">
        <v>0</v>
      </c>
      <c r="E77" s="420">
        <v>0</v>
      </c>
      <c r="F77" s="420"/>
      <c r="G77" s="420">
        <v>0</v>
      </c>
      <c r="H77" s="421"/>
      <c r="I77" s="421">
        <v>0</v>
      </c>
      <c r="J77" s="421"/>
      <c r="K77" s="421">
        <v>0</v>
      </c>
      <c r="L77" s="421"/>
      <c r="M77" s="421">
        <v>0</v>
      </c>
      <c r="N77" s="421"/>
      <c r="O77" s="421">
        <v>0</v>
      </c>
      <c r="P77" s="421"/>
      <c r="Q77" s="415">
        <v>0</v>
      </c>
      <c r="R77" s="421"/>
      <c r="S77" s="421">
        <v>0</v>
      </c>
      <c r="T77" s="422"/>
      <c r="U77" s="422">
        <v>0</v>
      </c>
      <c r="V77" s="422"/>
      <c r="W77" s="422">
        <v>0</v>
      </c>
      <c r="X77" s="422"/>
      <c r="Y77" s="422">
        <v>0</v>
      </c>
      <c r="Z77" s="422"/>
      <c r="AA77" s="422">
        <v>0</v>
      </c>
      <c r="AB77" s="422">
        <v>0</v>
      </c>
      <c r="AC77" s="409">
        <f t="shared" si="5"/>
        <v>39585.07</v>
      </c>
      <c r="AD77" s="581"/>
      <c r="AE77" s="419">
        <v>39585.07</v>
      </c>
      <c r="AF77" s="587">
        <f t="shared" si="6"/>
        <v>0</v>
      </c>
      <c r="AG77" s="587">
        <f t="shared" si="7"/>
        <v>0</v>
      </c>
      <c r="AH77" s="587">
        <f t="shared" si="8"/>
        <v>39585.07</v>
      </c>
    </row>
    <row r="78" spans="1:34" ht="30.75" customHeight="1" x14ac:dyDescent="0.75">
      <c r="A78" s="408" t="s">
        <v>45</v>
      </c>
      <c r="B78" s="409">
        <f>'2014-2015'!AC78</f>
        <v>128914.62999999999</v>
      </c>
      <c r="C78" s="410">
        <v>0</v>
      </c>
      <c r="D78" s="411">
        <v>11667.06</v>
      </c>
      <c r="E78" s="409">
        <v>46931.12</v>
      </c>
      <c r="F78" s="409">
        <v>46931.12</v>
      </c>
      <c r="G78" s="409">
        <v>57439.040000000001</v>
      </c>
      <c r="H78" s="415">
        <v>57439.040000000001</v>
      </c>
      <c r="I78" s="415">
        <v>67686.84</v>
      </c>
      <c r="J78" s="415">
        <v>40067.83</v>
      </c>
      <c r="K78" s="415">
        <v>46795.53</v>
      </c>
      <c r="L78" s="415">
        <v>13647.87</v>
      </c>
      <c r="M78" s="415">
        <v>55648.22</v>
      </c>
      <c r="N78" s="415">
        <v>38489.269999999997</v>
      </c>
      <c r="O78" s="415">
        <v>51835.6</v>
      </c>
      <c r="P78" s="415">
        <v>24290.31</v>
      </c>
      <c r="Q78" s="415">
        <v>41711.15</v>
      </c>
      <c r="R78" s="415"/>
      <c r="S78" s="415">
        <v>25909.39</v>
      </c>
      <c r="T78" s="416">
        <v>26079.360000000001</v>
      </c>
      <c r="U78" s="416">
        <v>31190.13</v>
      </c>
      <c r="V78" s="416"/>
      <c r="W78" s="416">
        <v>24553.19</v>
      </c>
      <c r="X78" s="416">
        <v>25909.39</v>
      </c>
      <c r="Y78" s="416">
        <v>48982.45</v>
      </c>
      <c r="Z78" s="416">
        <v>104725.77</v>
      </c>
      <c r="AA78" s="416">
        <v>30694.99</v>
      </c>
      <c r="AB78" s="416">
        <v>14947.39</v>
      </c>
      <c r="AC78" s="409">
        <f t="shared" si="5"/>
        <v>283992.65000000008</v>
      </c>
      <c r="AD78" s="581"/>
      <c r="AE78" s="419">
        <v>128914.62999999999</v>
      </c>
      <c r="AF78" s="587">
        <f t="shared" si="6"/>
        <v>544325.04</v>
      </c>
      <c r="AG78" s="587">
        <f t="shared" si="7"/>
        <v>389247.02</v>
      </c>
      <c r="AH78" s="587">
        <f t="shared" si="8"/>
        <v>283992.65000000002</v>
      </c>
    </row>
    <row r="79" spans="1:34" ht="30.75" customHeight="1" x14ac:dyDescent="0.75">
      <c r="A79" s="418" t="s">
        <v>191</v>
      </c>
      <c r="B79" s="409">
        <f>'2014-2015'!AC79</f>
        <v>113110.97000000002</v>
      </c>
      <c r="C79" s="410"/>
      <c r="D79" s="419">
        <v>0</v>
      </c>
      <c r="E79" s="420">
        <v>5319.2</v>
      </c>
      <c r="F79" s="420"/>
      <c r="G79" s="420">
        <v>5496.5</v>
      </c>
      <c r="H79" s="421"/>
      <c r="I79" s="421">
        <v>5319.2</v>
      </c>
      <c r="J79" s="421"/>
      <c r="K79" s="421">
        <v>6673.01</v>
      </c>
      <c r="L79" s="421"/>
      <c r="M79" s="421">
        <v>7064.34</v>
      </c>
      <c r="N79" s="421"/>
      <c r="O79" s="421">
        <v>5319.2</v>
      </c>
      <c r="P79" s="421"/>
      <c r="Q79" s="415">
        <v>4322.7700000000004</v>
      </c>
      <c r="R79" s="421"/>
      <c r="S79" s="421">
        <v>0</v>
      </c>
      <c r="T79" s="422"/>
      <c r="U79" s="422">
        <v>0</v>
      </c>
      <c r="V79" s="422"/>
      <c r="W79" s="422">
        <v>0</v>
      </c>
      <c r="X79" s="422"/>
      <c r="Y79" s="422">
        <v>0</v>
      </c>
      <c r="Z79" s="422"/>
      <c r="AA79" s="422">
        <v>0</v>
      </c>
      <c r="AB79" s="422">
        <v>0</v>
      </c>
      <c r="AC79" s="409">
        <f t="shared" si="5"/>
        <v>152625.19</v>
      </c>
      <c r="AD79" s="581"/>
      <c r="AE79" s="419">
        <v>113110.97000000002</v>
      </c>
      <c r="AF79" s="587">
        <f t="shared" si="6"/>
        <v>39514.22</v>
      </c>
      <c r="AG79" s="587">
        <f t="shared" si="7"/>
        <v>0</v>
      </c>
      <c r="AH79" s="587">
        <f t="shared" si="8"/>
        <v>152625.19</v>
      </c>
    </row>
    <row r="80" spans="1:34" ht="30.75" customHeight="1" x14ac:dyDescent="0.75">
      <c r="A80" s="408" t="s">
        <v>309</v>
      </c>
      <c r="B80" s="409">
        <f>'2014-2015'!AC80</f>
        <v>31622.360000000004</v>
      </c>
      <c r="C80" s="410"/>
      <c r="D80" s="411">
        <v>0</v>
      </c>
      <c r="E80" s="409">
        <v>0</v>
      </c>
      <c r="F80" s="409"/>
      <c r="G80" s="409">
        <v>0</v>
      </c>
      <c r="H80" s="415"/>
      <c r="I80" s="415">
        <v>0</v>
      </c>
      <c r="J80" s="415"/>
      <c r="K80" s="415">
        <v>0</v>
      </c>
      <c r="L80" s="415"/>
      <c r="M80" s="415">
        <v>0</v>
      </c>
      <c r="N80" s="415"/>
      <c r="O80" s="415">
        <v>0</v>
      </c>
      <c r="P80" s="415"/>
      <c r="Q80" s="415">
        <v>0</v>
      </c>
      <c r="R80" s="415"/>
      <c r="S80" s="415">
        <v>0</v>
      </c>
      <c r="T80" s="416"/>
      <c r="U80" s="416">
        <v>0</v>
      </c>
      <c r="V80" s="416"/>
      <c r="W80" s="416">
        <v>13722.24</v>
      </c>
      <c r="X80" s="416"/>
      <c r="Y80" s="416">
        <v>32154.04</v>
      </c>
      <c r="Z80" s="416"/>
      <c r="AA80" s="416">
        <v>11570.63</v>
      </c>
      <c r="AB80" s="416">
        <v>5236.32</v>
      </c>
      <c r="AC80" s="409">
        <f t="shared" si="5"/>
        <v>94305.590000000026</v>
      </c>
      <c r="AD80" s="581"/>
      <c r="AE80" s="419">
        <v>31622.360000000004</v>
      </c>
      <c r="AF80" s="587">
        <f t="shared" si="6"/>
        <v>62683.229999999996</v>
      </c>
      <c r="AG80" s="587">
        <f t="shared" si="7"/>
        <v>0</v>
      </c>
      <c r="AH80" s="587">
        <f t="shared" si="8"/>
        <v>94305.59</v>
      </c>
    </row>
    <row r="81" spans="1:34" ht="30.75" customHeight="1" x14ac:dyDescent="0.75">
      <c r="A81" s="408" t="s">
        <v>197</v>
      </c>
      <c r="B81" s="409">
        <f>'2014-2015'!AC81</f>
        <v>30182.73</v>
      </c>
      <c r="C81" s="410"/>
      <c r="D81" s="411">
        <v>0</v>
      </c>
      <c r="E81" s="409">
        <v>0</v>
      </c>
      <c r="F81" s="409"/>
      <c r="G81" s="409">
        <v>0</v>
      </c>
      <c r="H81" s="415"/>
      <c r="I81" s="415">
        <v>0</v>
      </c>
      <c r="J81" s="415"/>
      <c r="K81" s="415">
        <v>0</v>
      </c>
      <c r="L81" s="415"/>
      <c r="M81" s="415">
        <v>0</v>
      </c>
      <c r="N81" s="415"/>
      <c r="O81" s="415">
        <v>0</v>
      </c>
      <c r="P81" s="415"/>
      <c r="Q81" s="415">
        <v>0</v>
      </c>
      <c r="R81" s="415"/>
      <c r="S81" s="415">
        <v>0</v>
      </c>
      <c r="T81" s="416"/>
      <c r="U81" s="416">
        <v>0</v>
      </c>
      <c r="V81" s="416"/>
      <c r="W81" s="416">
        <v>0</v>
      </c>
      <c r="X81" s="416"/>
      <c r="Y81" s="416">
        <v>0</v>
      </c>
      <c r="Z81" s="416"/>
      <c r="AA81" s="416">
        <v>0</v>
      </c>
      <c r="AB81" s="416">
        <v>0</v>
      </c>
      <c r="AC81" s="409">
        <f t="shared" si="5"/>
        <v>30182.73</v>
      </c>
      <c r="AD81" s="581"/>
      <c r="AE81" s="419">
        <v>30182.73</v>
      </c>
      <c r="AF81" s="587">
        <f t="shared" si="6"/>
        <v>0</v>
      </c>
      <c r="AG81" s="587">
        <f t="shared" si="7"/>
        <v>0</v>
      </c>
      <c r="AH81" s="587">
        <f t="shared" si="8"/>
        <v>30182.73</v>
      </c>
    </row>
    <row r="82" spans="1:34" ht="30.75" customHeight="1" x14ac:dyDescent="0.75">
      <c r="A82" s="424" t="s">
        <v>104</v>
      </c>
      <c r="B82" s="409">
        <f>'2014-2015'!AC82</f>
        <v>19279.3</v>
      </c>
      <c r="C82" s="410"/>
      <c r="D82" s="419">
        <v>0</v>
      </c>
      <c r="E82" s="420">
        <v>0</v>
      </c>
      <c r="F82" s="420"/>
      <c r="G82" s="420">
        <v>0</v>
      </c>
      <c r="H82" s="421"/>
      <c r="I82" s="421">
        <v>0</v>
      </c>
      <c r="J82" s="421"/>
      <c r="K82" s="421">
        <v>0</v>
      </c>
      <c r="L82" s="421"/>
      <c r="M82" s="421">
        <v>0</v>
      </c>
      <c r="N82" s="421"/>
      <c r="O82" s="421">
        <v>0</v>
      </c>
      <c r="P82" s="421"/>
      <c r="Q82" s="415">
        <v>0</v>
      </c>
      <c r="R82" s="421"/>
      <c r="S82" s="421">
        <v>0</v>
      </c>
      <c r="T82" s="422"/>
      <c r="U82" s="422">
        <v>0</v>
      </c>
      <c r="V82" s="422"/>
      <c r="W82" s="422">
        <v>0</v>
      </c>
      <c r="X82" s="422"/>
      <c r="Y82" s="422">
        <v>0</v>
      </c>
      <c r="Z82" s="422"/>
      <c r="AA82" s="422">
        <v>0</v>
      </c>
      <c r="AB82" s="422">
        <v>0</v>
      </c>
      <c r="AC82" s="409">
        <f t="shared" si="5"/>
        <v>19279.3</v>
      </c>
      <c r="AD82" s="581"/>
      <c r="AE82" s="419">
        <v>19279.3</v>
      </c>
      <c r="AF82" s="587">
        <f t="shared" si="6"/>
        <v>0</v>
      </c>
      <c r="AG82" s="587">
        <f t="shared" si="7"/>
        <v>0</v>
      </c>
      <c r="AH82" s="587">
        <f t="shared" si="8"/>
        <v>19279.3</v>
      </c>
    </row>
    <row r="83" spans="1:34" ht="30.75" customHeight="1" x14ac:dyDescent="0.75">
      <c r="A83" s="418" t="s">
        <v>316</v>
      </c>
      <c r="B83" s="409">
        <f>'2014-2015'!AC83</f>
        <v>17265.66</v>
      </c>
      <c r="C83" s="410"/>
      <c r="D83" s="419">
        <v>0</v>
      </c>
      <c r="E83" s="420">
        <v>0</v>
      </c>
      <c r="F83" s="420"/>
      <c r="G83" s="420">
        <v>0</v>
      </c>
      <c r="H83" s="421"/>
      <c r="I83" s="421">
        <v>0</v>
      </c>
      <c r="J83" s="421"/>
      <c r="K83" s="421">
        <v>0</v>
      </c>
      <c r="L83" s="421"/>
      <c r="M83" s="421">
        <v>0</v>
      </c>
      <c r="N83" s="421"/>
      <c r="O83" s="421">
        <v>0</v>
      </c>
      <c r="P83" s="421"/>
      <c r="Q83" s="415">
        <v>0</v>
      </c>
      <c r="R83" s="421"/>
      <c r="S83" s="421">
        <v>0</v>
      </c>
      <c r="T83" s="422"/>
      <c r="U83" s="422">
        <v>0</v>
      </c>
      <c r="V83" s="422"/>
      <c r="W83" s="422">
        <v>0</v>
      </c>
      <c r="X83" s="422"/>
      <c r="Y83" s="422">
        <v>0</v>
      </c>
      <c r="Z83" s="422"/>
      <c r="AA83" s="422">
        <v>0</v>
      </c>
      <c r="AB83" s="422">
        <v>0</v>
      </c>
      <c r="AC83" s="409">
        <f t="shared" si="5"/>
        <v>17265.66</v>
      </c>
      <c r="AD83" s="581"/>
      <c r="AE83" s="419">
        <v>17265.66</v>
      </c>
      <c r="AF83" s="587">
        <f t="shared" si="6"/>
        <v>0</v>
      </c>
      <c r="AG83" s="587">
        <f t="shared" si="7"/>
        <v>0</v>
      </c>
      <c r="AH83" s="587">
        <f t="shared" si="8"/>
        <v>17265.66</v>
      </c>
    </row>
    <row r="84" spans="1:34" ht="30.75" customHeight="1" x14ac:dyDescent="0.75">
      <c r="A84" s="418" t="s">
        <v>72</v>
      </c>
      <c r="B84" s="409">
        <f>'2014-2015'!AC84</f>
        <v>68330.959999999934</v>
      </c>
      <c r="C84" s="410"/>
      <c r="D84" s="419">
        <v>0</v>
      </c>
      <c r="E84" s="420">
        <v>39824.660000000003</v>
      </c>
      <c r="F84" s="420">
        <v>77568.100000000006</v>
      </c>
      <c r="G84" s="420">
        <v>38755</v>
      </c>
      <c r="H84" s="421">
        <v>38775</v>
      </c>
      <c r="I84" s="421">
        <v>40367.18</v>
      </c>
      <c r="J84" s="421">
        <v>40367.18</v>
      </c>
      <c r="K84" s="421">
        <v>39638.400000000001</v>
      </c>
      <c r="L84" s="421">
        <v>19238</v>
      </c>
      <c r="M84" s="421">
        <v>43913.63</v>
      </c>
      <c r="N84" s="421">
        <f>20400.4+43913.63</f>
        <v>64314.03</v>
      </c>
      <c r="O84" s="421">
        <v>32152.959999999999</v>
      </c>
      <c r="P84" s="421">
        <f>14966.96</f>
        <v>14966.96</v>
      </c>
      <c r="Q84" s="415">
        <v>12971.75</v>
      </c>
      <c r="R84" s="421">
        <f>12971.75</f>
        <v>12971.75</v>
      </c>
      <c r="S84" s="421">
        <v>13521.61</v>
      </c>
      <c r="T84" s="422">
        <v>13521.61</v>
      </c>
      <c r="U84" s="422">
        <v>11338.55</v>
      </c>
      <c r="V84" s="422"/>
      <c r="W84" s="422">
        <v>10826.4</v>
      </c>
      <c r="X84" s="422">
        <f>11338.55</f>
        <v>11338.55</v>
      </c>
      <c r="Y84" s="422">
        <v>9665</v>
      </c>
      <c r="Z84" s="422">
        <f>9665+9665</f>
        <v>19330</v>
      </c>
      <c r="AA84" s="422">
        <v>9665</v>
      </c>
      <c r="AB84" s="422">
        <v>0</v>
      </c>
      <c r="AC84" s="409">
        <f t="shared" si="5"/>
        <v>58579.919999999925</v>
      </c>
      <c r="AD84" s="581"/>
      <c r="AE84" s="419">
        <v>68330.959999999934</v>
      </c>
      <c r="AF84" s="587">
        <f t="shared" si="6"/>
        <v>302640.14</v>
      </c>
      <c r="AG84" s="587">
        <f t="shared" si="7"/>
        <v>312391.18</v>
      </c>
      <c r="AH84" s="587">
        <f t="shared" si="8"/>
        <v>58579.919999999984</v>
      </c>
    </row>
    <row r="85" spans="1:34" ht="30.75" customHeight="1" x14ac:dyDescent="0.75">
      <c r="A85" s="418" t="s">
        <v>192</v>
      </c>
      <c r="B85" s="409">
        <f>'2014-2015'!AC85</f>
        <v>14167.500000000002</v>
      </c>
      <c r="C85" s="410"/>
      <c r="D85" s="419">
        <v>0</v>
      </c>
      <c r="E85" s="420">
        <v>0</v>
      </c>
      <c r="F85" s="420"/>
      <c r="G85" s="420">
        <v>0</v>
      </c>
      <c r="H85" s="421"/>
      <c r="I85" s="421">
        <v>0</v>
      </c>
      <c r="J85" s="421"/>
      <c r="K85" s="421">
        <v>0</v>
      </c>
      <c r="L85" s="421"/>
      <c r="M85" s="421">
        <v>0</v>
      </c>
      <c r="N85" s="421"/>
      <c r="O85" s="421">
        <v>0</v>
      </c>
      <c r="P85" s="421"/>
      <c r="Q85" s="415">
        <v>0</v>
      </c>
      <c r="R85" s="421"/>
      <c r="S85" s="421">
        <v>0</v>
      </c>
      <c r="T85" s="422"/>
      <c r="U85" s="422">
        <v>0</v>
      </c>
      <c r="V85" s="422"/>
      <c r="W85" s="422">
        <v>0</v>
      </c>
      <c r="X85" s="422"/>
      <c r="Y85" s="422">
        <v>0</v>
      </c>
      <c r="Z85" s="422"/>
      <c r="AA85" s="422">
        <v>0</v>
      </c>
      <c r="AB85" s="422">
        <v>0</v>
      </c>
      <c r="AC85" s="409">
        <f t="shared" si="5"/>
        <v>14167.500000000002</v>
      </c>
      <c r="AD85" s="581"/>
      <c r="AE85" s="419">
        <v>14167.500000000002</v>
      </c>
      <c r="AF85" s="587">
        <f t="shared" si="6"/>
        <v>0</v>
      </c>
      <c r="AG85" s="587">
        <f t="shared" si="7"/>
        <v>0</v>
      </c>
      <c r="AH85" s="587">
        <f t="shared" si="8"/>
        <v>14167.500000000002</v>
      </c>
    </row>
    <row r="86" spans="1:34" ht="30.75" customHeight="1" x14ac:dyDescent="0.75">
      <c r="A86" s="418" t="s">
        <v>80</v>
      </c>
      <c r="B86" s="409">
        <f>'2014-2015'!AC86</f>
        <v>8463.1359999999986</v>
      </c>
      <c r="C86" s="410"/>
      <c r="D86" s="419">
        <v>3251.33</v>
      </c>
      <c r="E86" s="420">
        <v>17825.18</v>
      </c>
      <c r="F86" s="420">
        <f>8235.98+6219.45</f>
        <v>14455.43</v>
      </c>
      <c r="G86" s="420">
        <v>6324.63</v>
      </c>
      <c r="H86" s="421">
        <v>6324.63</v>
      </c>
      <c r="I86" s="421">
        <v>-763.99</v>
      </c>
      <c r="J86" s="421">
        <v>5455.46</v>
      </c>
      <c r="K86" s="421">
        <v>6708.13</v>
      </c>
      <c r="L86" s="421">
        <v>6708.13</v>
      </c>
      <c r="M86" s="421">
        <v>6324.18</v>
      </c>
      <c r="N86" s="421">
        <v>6324.18</v>
      </c>
      <c r="O86" s="421">
        <v>6097.14</v>
      </c>
      <c r="P86" s="421">
        <v>6097.14</v>
      </c>
      <c r="Q86" s="415">
        <v>6873.43</v>
      </c>
      <c r="R86" s="421">
        <v>6873.43</v>
      </c>
      <c r="S86" s="421">
        <v>6055.73</v>
      </c>
      <c r="T86" s="422">
        <v>6055.73</v>
      </c>
      <c r="U86" s="422">
        <v>6212.98</v>
      </c>
      <c r="V86" s="422">
        <v>6212.98</v>
      </c>
      <c r="W86" s="422">
        <v>5519.53</v>
      </c>
      <c r="X86" s="422">
        <v>5519.53</v>
      </c>
      <c r="Y86" s="422">
        <v>12572.15</v>
      </c>
      <c r="Z86" s="422">
        <v>12572.15</v>
      </c>
      <c r="AA86" s="422">
        <v>8490</v>
      </c>
      <c r="AB86" s="422">
        <v>1013.5</v>
      </c>
      <c r="AC86" s="409">
        <f t="shared" si="5"/>
        <v>11865.605999999996</v>
      </c>
      <c r="AD86" s="581"/>
      <c r="AE86" s="419">
        <v>8463.1359999999986</v>
      </c>
      <c r="AF86" s="587">
        <f t="shared" si="6"/>
        <v>89252.59</v>
      </c>
      <c r="AG86" s="587">
        <f t="shared" si="7"/>
        <v>85850.12</v>
      </c>
      <c r="AH86" s="587">
        <f t="shared" si="8"/>
        <v>11865.606</v>
      </c>
    </row>
    <row r="87" spans="1:34" ht="30.75" customHeight="1" x14ac:dyDescent="0.75">
      <c r="A87" s="418" t="s">
        <v>193</v>
      </c>
      <c r="B87" s="409">
        <f>'2014-2015'!AC87</f>
        <v>7899.08</v>
      </c>
      <c r="C87" s="410"/>
      <c r="D87" s="419">
        <v>0</v>
      </c>
      <c r="E87" s="420">
        <v>0</v>
      </c>
      <c r="F87" s="420"/>
      <c r="G87" s="420">
        <v>0</v>
      </c>
      <c r="H87" s="421"/>
      <c r="I87" s="421">
        <v>0</v>
      </c>
      <c r="J87" s="421"/>
      <c r="K87" s="421">
        <v>0</v>
      </c>
      <c r="L87" s="421"/>
      <c r="M87" s="421">
        <v>0</v>
      </c>
      <c r="N87" s="421"/>
      <c r="O87" s="421">
        <v>0</v>
      </c>
      <c r="P87" s="421"/>
      <c r="Q87" s="415">
        <v>0</v>
      </c>
      <c r="R87" s="421"/>
      <c r="S87" s="421">
        <v>0</v>
      </c>
      <c r="T87" s="422"/>
      <c r="U87" s="422">
        <v>0</v>
      </c>
      <c r="V87" s="422"/>
      <c r="W87" s="422">
        <v>0</v>
      </c>
      <c r="X87" s="422"/>
      <c r="Y87" s="422">
        <v>0</v>
      </c>
      <c r="Z87" s="422"/>
      <c r="AA87" s="422">
        <v>0</v>
      </c>
      <c r="AB87" s="422">
        <v>0</v>
      </c>
      <c r="AC87" s="409">
        <f t="shared" si="5"/>
        <v>7899.08</v>
      </c>
      <c r="AD87" s="581"/>
      <c r="AE87" s="419">
        <v>7899.08</v>
      </c>
      <c r="AF87" s="587">
        <f t="shared" si="6"/>
        <v>0</v>
      </c>
      <c r="AG87" s="587">
        <f t="shared" si="7"/>
        <v>0</v>
      </c>
      <c r="AH87" s="587">
        <f t="shared" si="8"/>
        <v>7899.08</v>
      </c>
    </row>
    <row r="88" spans="1:34" ht="30.75" customHeight="1" x14ac:dyDescent="0.75">
      <c r="A88" s="425" t="s">
        <v>92</v>
      </c>
      <c r="B88" s="409">
        <f>'2014-2015'!AC88</f>
        <v>873.27</v>
      </c>
      <c r="C88" s="410"/>
      <c r="D88" s="419">
        <v>0</v>
      </c>
      <c r="E88" s="420">
        <v>0</v>
      </c>
      <c r="F88" s="420"/>
      <c r="G88" s="420">
        <v>0</v>
      </c>
      <c r="H88" s="421"/>
      <c r="I88" s="421">
        <v>0</v>
      </c>
      <c r="J88" s="421"/>
      <c r="K88" s="421">
        <v>0</v>
      </c>
      <c r="L88" s="421"/>
      <c r="M88" s="421">
        <v>0</v>
      </c>
      <c r="N88" s="421"/>
      <c r="O88" s="421">
        <v>0</v>
      </c>
      <c r="P88" s="421"/>
      <c r="Q88" s="415">
        <v>0</v>
      </c>
      <c r="R88" s="421"/>
      <c r="S88" s="421">
        <v>0</v>
      </c>
      <c r="T88" s="422"/>
      <c r="U88" s="422">
        <v>0</v>
      </c>
      <c r="V88" s="422"/>
      <c r="W88" s="422">
        <v>0</v>
      </c>
      <c r="X88" s="422"/>
      <c r="Y88" s="422">
        <v>0</v>
      </c>
      <c r="Z88" s="422"/>
      <c r="AA88" s="422">
        <v>0</v>
      </c>
      <c r="AB88" s="422">
        <v>0</v>
      </c>
      <c r="AC88" s="409">
        <f t="shared" si="5"/>
        <v>873.27</v>
      </c>
      <c r="AD88" s="581"/>
      <c r="AE88" s="419">
        <v>873.27</v>
      </c>
      <c r="AF88" s="587">
        <f t="shared" si="6"/>
        <v>0</v>
      </c>
      <c r="AG88" s="587">
        <f t="shared" si="7"/>
        <v>0</v>
      </c>
      <c r="AH88" s="587">
        <f t="shared" si="8"/>
        <v>873.27</v>
      </c>
    </row>
    <row r="89" spans="1:34" ht="30.75" customHeight="1" x14ac:dyDescent="0.75">
      <c r="A89" s="426" t="s">
        <v>313</v>
      </c>
      <c r="B89" s="409">
        <f>'2014-2015'!AC89</f>
        <v>652.48</v>
      </c>
      <c r="C89" s="410"/>
      <c r="D89" s="419">
        <v>0</v>
      </c>
      <c r="E89" s="420">
        <v>0</v>
      </c>
      <c r="F89" s="420"/>
      <c r="G89" s="420">
        <v>0</v>
      </c>
      <c r="H89" s="421"/>
      <c r="I89" s="421">
        <v>0</v>
      </c>
      <c r="J89" s="421"/>
      <c r="K89" s="421">
        <v>0</v>
      </c>
      <c r="L89" s="421"/>
      <c r="M89" s="421">
        <v>0</v>
      </c>
      <c r="N89" s="421"/>
      <c r="O89" s="421">
        <v>0</v>
      </c>
      <c r="P89" s="421"/>
      <c r="Q89" s="415">
        <v>0</v>
      </c>
      <c r="R89" s="421"/>
      <c r="S89" s="421">
        <v>0</v>
      </c>
      <c r="T89" s="422"/>
      <c r="U89" s="422">
        <v>0</v>
      </c>
      <c r="V89" s="422"/>
      <c r="W89" s="422">
        <v>0</v>
      </c>
      <c r="X89" s="422"/>
      <c r="Y89" s="422">
        <v>0</v>
      </c>
      <c r="Z89" s="422"/>
      <c r="AA89" s="422">
        <v>0</v>
      </c>
      <c r="AB89" s="422">
        <v>0</v>
      </c>
      <c r="AC89" s="409">
        <f t="shared" si="5"/>
        <v>652.48</v>
      </c>
      <c r="AD89" s="581"/>
      <c r="AE89" s="419">
        <v>652.48</v>
      </c>
      <c r="AF89" s="587">
        <f t="shared" si="6"/>
        <v>0</v>
      </c>
      <c r="AG89" s="587">
        <f t="shared" si="7"/>
        <v>0</v>
      </c>
      <c r="AH89" s="587">
        <f t="shared" si="8"/>
        <v>652.48</v>
      </c>
    </row>
    <row r="90" spans="1:34" ht="30.75" customHeight="1" x14ac:dyDescent="0.75">
      <c r="A90" s="418" t="s">
        <v>188</v>
      </c>
      <c r="B90" s="409">
        <f>'2014-2015'!AC90</f>
        <v>1762.4</v>
      </c>
      <c r="C90" s="410"/>
      <c r="D90" s="419">
        <v>0</v>
      </c>
      <c r="E90" s="420">
        <v>0</v>
      </c>
      <c r="F90" s="420"/>
      <c r="G90" s="420">
        <v>0</v>
      </c>
      <c r="H90" s="421"/>
      <c r="I90" s="421">
        <v>0</v>
      </c>
      <c r="J90" s="421"/>
      <c r="K90" s="421">
        <v>0</v>
      </c>
      <c r="L90" s="421"/>
      <c r="M90" s="421">
        <v>0</v>
      </c>
      <c r="N90" s="421"/>
      <c r="O90" s="421">
        <v>0</v>
      </c>
      <c r="P90" s="421"/>
      <c r="Q90" s="415">
        <v>0</v>
      </c>
      <c r="R90" s="421"/>
      <c r="S90" s="421">
        <v>0</v>
      </c>
      <c r="T90" s="422"/>
      <c r="U90" s="422">
        <v>0</v>
      </c>
      <c r="V90" s="422"/>
      <c r="W90" s="422">
        <v>0</v>
      </c>
      <c r="X90" s="422"/>
      <c r="Y90" s="422">
        <v>0</v>
      </c>
      <c r="Z90" s="422"/>
      <c r="AA90" s="422">
        <v>0</v>
      </c>
      <c r="AB90" s="422">
        <v>0</v>
      </c>
      <c r="AC90" s="409">
        <f t="shared" si="5"/>
        <v>1762.4</v>
      </c>
      <c r="AD90" s="581"/>
      <c r="AE90" s="419">
        <v>1762.4</v>
      </c>
      <c r="AF90" s="587">
        <f t="shared" si="6"/>
        <v>0</v>
      </c>
      <c r="AG90" s="587">
        <f t="shared" si="7"/>
        <v>0</v>
      </c>
      <c r="AH90" s="587">
        <f t="shared" si="8"/>
        <v>1762.4</v>
      </c>
    </row>
    <row r="91" spans="1:34" ht="30.75" customHeight="1" x14ac:dyDescent="0.75">
      <c r="A91" s="427" t="s">
        <v>152</v>
      </c>
      <c r="B91" s="409">
        <f>'2014-2015'!AC91</f>
        <v>2</v>
      </c>
      <c r="C91" s="410"/>
      <c r="D91" s="419">
        <v>0</v>
      </c>
      <c r="E91" s="420">
        <v>0</v>
      </c>
      <c r="F91" s="420"/>
      <c r="G91" s="420">
        <v>0</v>
      </c>
      <c r="H91" s="421"/>
      <c r="I91" s="421">
        <v>0</v>
      </c>
      <c r="J91" s="421"/>
      <c r="K91" s="420">
        <v>0</v>
      </c>
      <c r="L91" s="420"/>
      <c r="M91" s="421">
        <v>0</v>
      </c>
      <c r="N91" s="421"/>
      <c r="O91" s="421">
        <v>0</v>
      </c>
      <c r="P91" s="421"/>
      <c r="Q91" s="415">
        <v>0</v>
      </c>
      <c r="R91" s="421"/>
      <c r="S91" s="421">
        <v>0</v>
      </c>
      <c r="T91" s="422"/>
      <c r="U91" s="422">
        <v>0</v>
      </c>
      <c r="V91" s="422"/>
      <c r="W91" s="422">
        <v>0</v>
      </c>
      <c r="X91" s="422"/>
      <c r="Y91" s="422">
        <v>0</v>
      </c>
      <c r="Z91" s="422"/>
      <c r="AA91" s="422">
        <v>0</v>
      </c>
      <c r="AB91" s="422">
        <v>0</v>
      </c>
      <c r="AC91" s="409">
        <f t="shared" si="5"/>
        <v>2</v>
      </c>
      <c r="AD91" s="581"/>
      <c r="AE91" s="419">
        <v>2</v>
      </c>
      <c r="AF91" s="587">
        <f t="shared" si="6"/>
        <v>0</v>
      </c>
      <c r="AG91" s="587">
        <f t="shared" si="7"/>
        <v>0</v>
      </c>
      <c r="AH91" s="587">
        <f t="shared" si="8"/>
        <v>2</v>
      </c>
    </row>
    <row r="92" spans="1:34" ht="30.75" customHeight="1" x14ac:dyDescent="0.75">
      <c r="A92" s="428" t="s">
        <v>76</v>
      </c>
      <c r="B92" s="409">
        <f>'2014-2015'!AC92</f>
        <v>1.1641532182693481E-10</v>
      </c>
      <c r="C92" s="429"/>
      <c r="D92" s="430">
        <v>0</v>
      </c>
      <c r="E92" s="431">
        <v>0</v>
      </c>
      <c r="F92" s="431"/>
      <c r="G92" s="431">
        <v>0</v>
      </c>
      <c r="H92" s="409"/>
      <c r="I92" s="409">
        <v>0</v>
      </c>
      <c r="J92" s="409"/>
      <c r="K92" s="409">
        <v>0</v>
      </c>
      <c r="L92" s="409"/>
      <c r="M92" s="415">
        <v>0</v>
      </c>
      <c r="N92" s="415"/>
      <c r="O92" s="415">
        <v>0</v>
      </c>
      <c r="P92" s="415"/>
      <c r="Q92" s="415">
        <v>0</v>
      </c>
      <c r="R92" s="415"/>
      <c r="S92" s="415">
        <v>0</v>
      </c>
      <c r="T92" s="416"/>
      <c r="U92" s="416">
        <v>0</v>
      </c>
      <c r="V92" s="416"/>
      <c r="W92" s="416">
        <v>0</v>
      </c>
      <c r="X92" s="416"/>
      <c r="Y92" s="416">
        <v>0</v>
      </c>
      <c r="Z92" s="416"/>
      <c r="AA92" s="416">
        <v>0</v>
      </c>
      <c r="AB92" s="416">
        <v>0</v>
      </c>
      <c r="AC92" s="409">
        <f t="shared" si="5"/>
        <v>1.1641532182693481E-10</v>
      </c>
      <c r="AD92" s="581"/>
      <c r="AE92" s="419">
        <v>1.1641532182693481E-10</v>
      </c>
      <c r="AF92" s="587">
        <f t="shared" si="6"/>
        <v>0</v>
      </c>
      <c r="AG92" s="587">
        <f t="shared" si="7"/>
        <v>0</v>
      </c>
      <c r="AH92" s="587">
        <f t="shared" si="8"/>
        <v>1.1641532182693481E-10</v>
      </c>
    </row>
    <row r="93" spans="1:34" ht="30.75" customHeight="1" x14ac:dyDescent="0.75">
      <c r="A93" s="432" t="s">
        <v>140</v>
      </c>
      <c r="B93" s="409">
        <f>'2014-2015'!AC93</f>
        <v>-0.56000000000000005</v>
      </c>
      <c r="C93" s="429"/>
      <c r="D93" s="433">
        <v>0</v>
      </c>
      <c r="E93" s="434">
        <v>0</v>
      </c>
      <c r="F93" s="434"/>
      <c r="G93" s="434">
        <v>0</v>
      </c>
      <c r="H93" s="435"/>
      <c r="I93" s="435">
        <v>0</v>
      </c>
      <c r="J93" s="436"/>
      <c r="K93" s="420">
        <v>0</v>
      </c>
      <c r="L93" s="420"/>
      <c r="M93" s="421">
        <v>0</v>
      </c>
      <c r="N93" s="421"/>
      <c r="O93" s="421">
        <v>0</v>
      </c>
      <c r="P93" s="421"/>
      <c r="Q93" s="415">
        <v>0</v>
      </c>
      <c r="R93" s="421"/>
      <c r="S93" s="421">
        <v>0</v>
      </c>
      <c r="T93" s="422"/>
      <c r="U93" s="422">
        <v>0</v>
      </c>
      <c r="V93" s="422"/>
      <c r="W93" s="422">
        <v>0</v>
      </c>
      <c r="X93" s="422"/>
      <c r="Y93" s="422">
        <v>0</v>
      </c>
      <c r="Z93" s="422"/>
      <c r="AA93" s="422">
        <v>0</v>
      </c>
      <c r="AB93" s="422">
        <v>0</v>
      </c>
      <c r="AC93" s="409">
        <f t="shared" si="5"/>
        <v>-0.56000000000000005</v>
      </c>
      <c r="AD93" s="581"/>
      <c r="AE93" s="419">
        <v>-0.56000000000000005</v>
      </c>
      <c r="AF93" s="587">
        <f t="shared" si="6"/>
        <v>0</v>
      </c>
      <c r="AG93" s="587">
        <f t="shared" si="7"/>
        <v>0</v>
      </c>
      <c r="AH93" s="587">
        <f t="shared" si="8"/>
        <v>-0.56000000000000005</v>
      </c>
    </row>
    <row r="94" spans="1:34" ht="30.75" customHeight="1" x14ac:dyDescent="0.75">
      <c r="A94" s="437" t="s">
        <v>61</v>
      </c>
      <c r="B94" s="409">
        <f>'2014-2015'!AC94</f>
        <v>81933.579999999754</v>
      </c>
      <c r="C94" s="429"/>
      <c r="D94" s="433">
        <f>6630+29703+5555+24222+23913.41</f>
        <v>90023.41</v>
      </c>
      <c r="E94" s="434">
        <v>132412.75</v>
      </c>
      <c r="F94" s="434">
        <f>486+37918.05+29813.5+28723.82</f>
        <v>96941.37</v>
      </c>
      <c r="G94" s="434">
        <v>104057.38</v>
      </c>
      <c r="H94" s="434">
        <f>7580.05+29738.5+1258.67+44300.88+21179.28</f>
        <v>104057.38</v>
      </c>
      <c r="I94" s="434">
        <v>85047.33</v>
      </c>
      <c r="J94" s="438">
        <f>29703+31943.09+28612.21+12612.72+155</f>
        <v>103026.01999999999</v>
      </c>
      <c r="K94" s="434">
        <v>98914.66</v>
      </c>
      <c r="L94" s="439">
        <f>6630+10431.23+9755.14+71662.59</f>
        <v>98478.959999999992</v>
      </c>
      <c r="M94" s="439">
        <v>105812.67</v>
      </c>
      <c r="N94" s="439">
        <f>44362.51+1368.84+29754+1138.6+9020</f>
        <v>85643.950000000012</v>
      </c>
      <c r="O94" s="439">
        <v>104154.36</v>
      </c>
      <c r="P94" s="439">
        <f>6630+485+13053.72+11762.57+29948.5</f>
        <v>61879.79</v>
      </c>
      <c r="Q94" s="440">
        <v>110561.86</v>
      </c>
      <c r="R94" s="439">
        <f>8970.52+9505+29833+12344.59</f>
        <v>60653.11</v>
      </c>
      <c r="S94" s="420">
        <v>113130.45</v>
      </c>
      <c r="T94" s="422">
        <f>45332.97+23677.39+26709.65+2062.72+9020+128+9947.55</f>
        <v>116878.28000000001</v>
      </c>
      <c r="U94" s="422">
        <v>96658.38</v>
      </c>
      <c r="V94" s="422">
        <f>24520+72433.02+13852.97+818</f>
        <v>111623.99</v>
      </c>
      <c r="W94" s="422">
        <v>95993.93</v>
      </c>
      <c r="X94" s="422">
        <f>10599.87+29703+5182.75+29703+11345.29+40+77679.64+8708</f>
        <v>172961.55</v>
      </c>
      <c r="Y94" s="422">
        <v>109306.64</v>
      </c>
      <c r="Z94" s="422">
        <f>29703+52084.52+37121.41</f>
        <v>118908.93</v>
      </c>
      <c r="AA94" s="422">
        <v>101029</v>
      </c>
      <c r="AB94" s="422">
        <v>32785.14</v>
      </c>
      <c r="AC94" s="409">
        <f t="shared" si="5"/>
        <v>150721.38999999984</v>
      </c>
      <c r="AD94" s="581"/>
      <c r="AE94" s="419">
        <v>81933.579999999754</v>
      </c>
      <c r="AF94" s="587">
        <f t="shared" si="6"/>
        <v>1289864.5499999998</v>
      </c>
      <c r="AG94" s="587">
        <f t="shared" si="7"/>
        <v>1221076.74</v>
      </c>
      <c r="AH94" s="587">
        <f t="shared" si="8"/>
        <v>150721.38999999966</v>
      </c>
    </row>
    <row r="95" spans="1:34" ht="30.75" customHeight="1" x14ac:dyDescent="0.75">
      <c r="A95" s="441" t="s">
        <v>70</v>
      </c>
      <c r="B95" s="409">
        <f>'2014-2015'!AC95</f>
        <v>295953.56999999983</v>
      </c>
      <c r="C95" s="429"/>
      <c r="D95" s="430"/>
      <c r="E95" s="431">
        <v>1199849.71</v>
      </c>
      <c r="F95" s="431"/>
      <c r="G95" s="431">
        <v>173009.38</v>
      </c>
      <c r="H95" s="431">
        <v>110384.46</v>
      </c>
      <c r="I95" s="431">
        <v>-206510.02</v>
      </c>
      <c r="J95" s="431">
        <f>126649.65+173009.38</f>
        <v>299659.03000000003</v>
      </c>
      <c r="K95" s="431">
        <v>132983.28</v>
      </c>
      <c r="L95" s="431"/>
      <c r="M95" s="431">
        <v>184361.33</v>
      </c>
      <c r="N95" s="431"/>
      <c r="O95" s="431">
        <v>141992.10999999999</v>
      </c>
      <c r="P95" s="431">
        <f>184361.33+141992.11</f>
        <v>326353.43999999994</v>
      </c>
      <c r="Q95" s="431">
        <v>386211.34</v>
      </c>
      <c r="R95" s="409"/>
      <c r="S95" s="409">
        <v>140816.70000000001</v>
      </c>
      <c r="T95" s="416">
        <f>386211.34+140816.7</f>
        <v>527028.04</v>
      </c>
      <c r="U95" s="416">
        <v>162085.41</v>
      </c>
      <c r="V95" s="416"/>
      <c r="W95" s="416">
        <v>134548.56</v>
      </c>
      <c r="X95" s="416"/>
      <c r="Y95" s="416">
        <v>146566.97</v>
      </c>
      <c r="Z95" s="416">
        <f>162085.41+567958.64</f>
        <v>730044.05</v>
      </c>
      <c r="AA95" s="416">
        <v>132220.85</v>
      </c>
      <c r="AB95" s="416">
        <v>81823.53</v>
      </c>
      <c r="AC95" s="409">
        <f t="shared" si="5"/>
        <v>1112443.6999999995</v>
      </c>
      <c r="AD95" s="581"/>
      <c r="AE95" s="419">
        <v>295953.56999999983</v>
      </c>
      <c r="AF95" s="587">
        <f t="shared" si="6"/>
        <v>2809959.1500000004</v>
      </c>
      <c r="AG95" s="587">
        <f t="shared" si="7"/>
        <v>1993469.02</v>
      </c>
      <c r="AH95" s="587">
        <f t="shared" si="8"/>
        <v>1112443.7000000002</v>
      </c>
    </row>
    <row r="96" spans="1:34" ht="30.75" customHeight="1" x14ac:dyDescent="0.75">
      <c r="A96" s="441" t="s">
        <v>58</v>
      </c>
      <c r="B96" s="409">
        <f>'2014-2015'!AC96</f>
        <v>1239977.5399999998</v>
      </c>
      <c r="C96" s="429">
        <v>0</v>
      </c>
      <c r="D96" s="430"/>
      <c r="E96" s="431">
        <v>407361.21</v>
      </c>
      <c r="F96" s="431"/>
      <c r="G96" s="431">
        <v>761505.61</v>
      </c>
      <c r="H96" s="431">
        <v>1566496.98</v>
      </c>
      <c r="I96" s="431">
        <v>828388.24</v>
      </c>
      <c r="J96" s="431">
        <f>572429.13+828388.24</f>
        <v>1400817.37</v>
      </c>
      <c r="K96" s="431">
        <v>471109.99</v>
      </c>
      <c r="L96" s="431">
        <v>256201.94</v>
      </c>
      <c r="M96" s="431">
        <v>456271.94</v>
      </c>
      <c r="N96" s="431">
        <f>471109.99+1559.88+456271.94</f>
        <v>928941.81</v>
      </c>
      <c r="O96" s="431">
        <v>639429.30000000005</v>
      </c>
      <c r="P96" s="431"/>
      <c r="Q96" s="431">
        <v>480851.63</v>
      </c>
      <c r="R96" s="431">
        <f>639429.3+480851.63</f>
        <v>1120280.9300000002</v>
      </c>
      <c r="S96" s="431">
        <v>506067.14</v>
      </c>
      <c r="T96" s="442">
        <v>506067.14</v>
      </c>
      <c r="U96" s="415">
        <v>524884.56999999995</v>
      </c>
      <c r="V96" s="409"/>
      <c r="W96" s="409">
        <v>418789.57</v>
      </c>
      <c r="X96" s="409">
        <v>524884.56999999995</v>
      </c>
      <c r="Y96" s="409">
        <v>513250.7</v>
      </c>
      <c r="Z96" s="415">
        <f>418789.57+513250.7</f>
        <v>932040.27</v>
      </c>
      <c r="AA96" s="415">
        <v>338853.57</v>
      </c>
      <c r="AB96" s="415">
        <v>132978.34</v>
      </c>
      <c r="AC96" s="409">
        <f t="shared" si="5"/>
        <v>483988.33999999973</v>
      </c>
      <c r="AD96" s="581"/>
      <c r="AE96" s="419">
        <v>1239977.5399999998</v>
      </c>
      <c r="AF96" s="587">
        <f t="shared" si="6"/>
        <v>6479741.8100000005</v>
      </c>
      <c r="AG96" s="587">
        <f t="shared" si="7"/>
        <v>7235731.0099999998</v>
      </c>
      <c r="AH96" s="587">
        <f t="shared" si="8"/>
        <v>483988.34000000078</v>
      </c>
    </row>
    <row r="97" spans="1:34" ht="30.75" customHeight="1" x14ac:dyDescent="0.75">
      <c r="A97" s="441" t="s">
        <v>194</v>
      </c>
      <c r="B97" s="409">
        <f>'2014-2015'!AC97</f>
        <v>-487268.6</v>
      </c>
      <c r="C97" s="429"/>
      <c r="D97" s="430"/>
      <c r="E97" s="431">
        <v>0</v>
      </c>
      <c r="F97" s="431"/>
      <c r="G97" s="431">
        <v>0</v>
      </c>
      <c r="H97" s="431"/>
      <c r="I97" s="431">
        <v>0</v>
      </c>
      <c r="J97" s="431"/>
      <c r="K97" s="431">
        <v>19967.990000000002</v>
      </c>
      <c r="L97" s="431"/>
      <c r="M97" s="431">
        <v>3122.11</v>
      </c>
      <c r="N97" s="431"/>
      <c r="O97" s="431">
        <v>0</v>
      </c>
      <c r="P97" s="431"/>
      <c r="Q97" s="431">
        <v>2789.02</v>
      </c>
      <c r="R97" s="431"/>
      <c r="S97" s="431">
        <v>0</v>
      </c>
      <c r="T97" s="443"/>
      <c r="U97" s="444">
        <v>0</v>
      </c>
      <c r="V97" s="442"/>
      <c r="W97" s="442">
        <v>0</v>
      </c>
      <c r="X97" s="431"/>
      <c r="Y97" s="431">
        <v>0</v>
      </c>
      <c r="Z97" s="444"/>
      <c r="AA97" s="444">
        <v>0</v>
      </c>
      <c r="AB97" s="444">
        <v>0</v>
      </c>
      <c r="AC97" s="409">
        <f t="shared" si="5"/>
        <v>-461389.48</v>
      </c>
      <c r="AD97" s="581"/>
      <c r="AE97" s="419">
        <v>-487268.6</v>
      </c>
      <c r="AF97" s="587">
        <f t="shared" si="6"/>
        <v>25879.120000000003</v>
      </c>
      <c r="AG97" s="587">
        <f t="shared" si="7"/>
        <v>0</v>
      </c>
      <c r="AH97" s="587">
        <f t="shared" si="8"/>
        <v>-461389.48</v>
      </c>
    </row>
    <row r="98" spans="1:34" ht="30.75" customHeight="1" x14ac:dyDescent="0.75">
      <c r="A98" s="441" t="s">
        <v>27</v>
      </c>
      <c r="B98" s="409">
        <f>'2014-2015'!AC98</f>
        <v>-304520.98000000365</v>
      </c>
      <c r="C98" s="429"/>
      <c r="D98" s="430">
        <v>390635.69</v>
      </c>
      <c r="E98" s="431">
        <v>1406978</v>
      </c>
      <c r="F98" s="431">
        <v>1406978</v>
      </c>
      <c r="G98" s="431">
        <v>1529768.03</v>
      </c>
      <c r="H98" s="431">
        <v>1529768.03</v>
      </c>
      <c r="I98" s="431">
        <v>1463763.82</v>
      </c>
      <c r="J98" s="431">
        <v>1463763.82</v>
      </c>
      <c r="K98" s="431">
        <v>1446777.1</v>
      </c>
      <c r="L98" s="431"/>
      <c r="M98" s="431">
        <v>1499117.1</v>
      </c>
      <c r="N98" s="431">
        <v>1499117.1</v>
      </c>
      <c r="O98" s="431">
        <v>1404248.48</v>
      </c>
      <c r="P98" s="431">
        <v>688503.14</v>
      </c>
      <c r="Q98" s="431">
        <v>1398335.47</v>
      </c>
      <c r="R98" s="431">
        <v>1398335.47</v>
      </c>
      <c r="S98" s="431">
        <v>1374113.07</v>
      </c>
      <c r="T98" s="431">
        <v>1374113.07</v>
      </c>
      <c r="U98" s="431">
        <v>1443064.21</v>
      </c>
      <c r="V98" s="431"/>
      <c r="W98" s="431">
        <v>1255104.9099999999</v>
      </c>
      <c r="X98" s="431">
        <f>1443064.21+1255104.91</f>
        <v>2698169.12</v>
      </c>
      <c r="Y98" s="431">
        <v>1419666.09</v>
      </c>
      <c r="Z98" s="431">
        <f>1419666.09</f>
        <v>1419666.09</v>
      </c>
      <c r="AA98" s="431">
        <v>998681.22</v>
      </c>
      <c r="AB98" s="431">
        <v>319013.09000000003</v>
      </c>
      <c r="AC98" s="409">
        <f t="shared" si="5"/>
        <v>2785060.0799999963</v>
      </c>
      <c r="AD98" s="581"/>
      <c r="AE98" s="419">
        <v>-304520.98000000365</v>
      </c>
      <c r="AF98" s="587">
        <f t="shared" si="6"/>
        <v>16958630.590000004</v>
      </c>
      <c r="AG98" s="587">
        <f t="shared" si="7"/>
        <v>13869049.530000001</v>
      </c>
      <c r="AH98" s="587">
        <f t="shared" si="8"/>
        <v>2785060.0799999982</v>
      </c>
    </row>
    <row r="99" spans="1:34" ht="30.75" customHeight="1" x14ac:dyDescent="0.75">
      <c r="A99" s="428" t="s">
        <v>339</v>
      </c>
      <c r="B99" s="409">
        <f>'2014-2015'!AC99</f>
        <v>142969.76999999999</v>
      </c>
      <c r="C99" s="410"/>
      <c r="D99" s="411"/>
      <c r="E99" s="409">
        <v>0</v>
      </c>
      <c r="F99" s="409"/>
      <c r="G99" s="409">
        <v>0</v>
      </c>
      <c r="H99" s="409"/>
      <c r="I99" s="409">
        <v>0</v>
      </c>
      <c r="J99" s="409"/>
      <c r="K99" s="409">
        <v>0</v>
      </c>
      <c r="L99" s="409"/>
      <c r="M99" s="409">
        <v>0</v>
      </c>
      <c r="N99" s="409"/>
      <c r="O99" s="409">
        <v>0</v>
      </c>
      <c r="P99" s="409"/>
      <c r="Q99" s="409">
        <v>0</v>
      </c>
      <c r="R99" s="409"/>
      <c r="S99" s="409">
        <v>0</v>
      </c>
      <c r="T99" s="409"/>
      <c r="U99" s="409">
        <v>0</v>
      </c>
      <c r="V99" s="409"/>
      <c r="W99" s="409">
        <v>0</v>
      </c>
      <c r="X99" s="409"/>
      <c r="Y99" s="409">
        <v>0</v>
      </c>
      <c r="Z99" s="409"/>
      <c r="AA99" s="409">
        <v>0</v>
      </c>
      <c r="AB99" s="409">
        <v>0</v>
      </c>
      <c r="AC99" s="409">
        <f t="shared" si="5"/>
        <v>142969.76999999999</v>
      </c>
      <c r="AD99" s="581"/>
      <c r="AE99" s="419">
        <v>142969.76999999999</v>
      </c>
      <c r="AF99" s="587">
        <f t="shared" si="6"/>
        <v>0</v>
      </c>
      <c r="AG99" s="587">
        <f t="shared" si="7"/>
        <v>0</v>
      </c>
      <c r="AH99" s="587">
        <f t="shared" si="8"/>
        <v>142969.76999999999</v>
      </c>
    </row>
    <row r="100" spans="1:34" ht="30.75" customHeight="1" x14ac:dyDescent="0.75">
      <c r="A100" s="428" t="s">
        <v>340</v>
      </c>
      <c r="B100" s="409">
        <f>'2014-2015'!AC100</f>
        <v>1392103.3699999999</v>
      </c>
      <c r="C100" s="410"/>
      <c r="D100" s="411"/>
      <c r="E100" s="409">
        <v>360291.29</v>
      </c>
      <c r="F100" s="409">
        <f>832654.09+492844.53</f>
        <v>1325498.6200000001</v>
      </c>
      <c r="G100" s="409">
        <v>377407.96</v>
      </c>
      <c r="H100" s="409"/>
      <c r="I100" s="409">
        <v>372940.79999999999</v>
      </c>
      <c r="J100" s="409"/>
      <c r="K100" s="409">
        <v>381527.78</v>
      </c>
      <c r="L100" s="409"/>
      <c r="M100" s="409">
        <v>479559.39</v>
      </c>
      <c r="N100" s="409"/>
      <c r="O100" s="409">
        <v>479762.65</v>
      </c>
      <c r="P100" s="409">
        <f>737699.25+754468.58+479559.39</f>
        <v>1971727.2200000002</v>
      </c>
      <c r="Q100" s="409">
        <v>469049.66</v>
      </c>
      <c r="R100" s="409">
        <v>479762.65</v>
      </c>
      <c r="S100" s="409">
        <v>463688.5</v>
      </c>
      <c r="T100" s="409"/>
      <c r="U100" s="409">
        <v>424612.72</v>
      </c>
      <c r="V100" s="409"/>
      <c r="W100" s="409">
        <v>400815.2</v>
      </c>
      <c r="X100" s="409">
        <f>149836.75+932738.16</f>
        <v>1082574.9100000001</v>
      </c>
      <c r="Y100" s="409">
        <v>453801.99</v>
      </c>
      <c r="Z100" s="409">
        <f>825427.92+453801.99</f>
        <v>1279229.9100000001</v>
      </c>
      <c r="AA100" s="409">
        <v>251198.4</v>
      </c>
      <c r="AB100" s="409">
        <v>181497.63</v>
      </c>
      <c r="AC100" s="409">
        <f t="shared" si="5"/>
        <v>349464.0299999991</v>
      </c>
      <c r="AD100" s="581"/>
      <c r="AE100" s="419">
        <v>1392103.3699999999</v>
      </c>
      <c r="AF100" s="587">
        <f t="shared" si="6"/>
        <v>5096153.9700000007</v>
      </c>
      <c r="AG100" s="587">
        <f t="shared" si="7"/>
        <v>6138793.3100000005</v>
      </c>
      <c r="AH100" s="587">
        <f t="shared" si="8"/>
        <v>349464.03000000026</v>
      </c>
    </row>
    <row r="101" spans="1:34" ht="30.75" customHeight="1" x14ac:dyDescent="0.75">
      <c r="A101" s="441" t="s">
        <v>341</v>
      </c>
      <c r="B101" s="409">
        <v>0</v>
      </c>
      <c r="C101" s="410"/>
      <c r="D101" s="411"/>
      <c r="E101" s="409">
        <v>8340589.6699999999</v>
      </c>
      <c r="F101" s="409"/>
      <c r="G101" s="409">
        <v>4815904.5999999996</v>
      </c>
      <c r="H101" s="409"/>
      <c r="I101" s="409">
        <v>7241327.4699999997</v>
      </c>
      <c r="J101" s="409"/>
      <c r="K101" s="409">
        <v>6103839.0599999996</v>
      </c>
      <c r="L101" s="409"/>
      <c r="M101" s="409">
        <v>5928314.1200000001</v>
      </c>
      <c r="N101" s="409"/>
      <c r="O101" s="431">
        <v>5882615.1600000001</v>
      </c>
      <c r="P101" s="431"/>
      <c r="Q101" s="431">
        <v>6137622.46</v>
      </c>
      <c r="R101" s="431">
        <f>7921957.05+4022830.88</f>
        <v>11944787.93</v>
      </c>
      <c r="S101" s="431">
        <v>6550199.9800000004</v>
      </c>
      <c r="T101" s="431"/>
      <c r="U101" s="431">
        <v>5558460.9299999997</v>
      </c>
      <c r="V101" s="431"/>
      <c r="W101" s="431">
        <v>5584168.7999999998</v>
      </c>
      <c r="X101" s="431"/>
      <c r="Y101" s="431">
        <v>5428113.7599999998</v>
      </c>
      <c r="Z101" s="431">
        <f>8358153.79+2707366.14+44560848.15</f>
        <v>55626368.079999998</v>
      </c>
      <c r="AA101" s="431">
        <v>4924240.4000000004</v>
      </c>
      <c r="AB101" s="431">
        <v>2462105.94</v>
      </c>
      <c r="AC101" s="409">
        <f t="shared" si="5"/>
        <v>7386346.3399999999</v>
      </c>
      <c r="AD101" s="581"/>
      <c r="AE101" s="419">
        <v>0</v>
      </c>
      <c r="AF101" s="587">
        <f t="shared" si="6"/>
        <v>74957502.349999994</v>
      </c>
      <c r="AG101" s="587">
        <f t="shared" si="7"/>
        <v>67571156.00999999</v>
      </c>
      <c r="AH101" s="587">
        <f t="shared" si="8"/>
        <v>7386346.3400000036</v>
      </c>
    </row>
    <row r="102" spans="1:34" ht="30.75" customHeight="1" x14ac:dyDescent="0.75">
      <c r="A102" s="428" t="s">
        <v>342</v>
      </c>
      <c r="B102" s="409">
        <f>'2014-2015'!AC102</f>
        <v>5842.51</v>
      </c>
      <c r="C102" s="410"/>
      <c r="D102" s="411"/>
      <c r="E102" s="409">
        <v>0</v>
      </c>
      <c r="F102" s="409"/>
      <c r="G102" s="409">
        <v>0</v>
      </c>
      <c r="H102" s="409"/>
      <c r="I102" s="409">
        <v>0</v>
      </c>
      <c r="J102" s="409"/>
      <c r="K102" s="409">
        <v>0</v>
      </c>
      <c r="L102" s="409"/>
      <c r="M102" s="409">
        <v>0</v>
      </c>
      <c r="N102" s="409"/>
      <c r="O102" s="409">
        <v>0</v>
      </c>
      <c r="P102" s="409"/>
      <c r="Q102" s="409">
        <v>0</v>
      </c>
      <c r="R102" s="409"/>
      <c r="S102" s="409">
        <v>0</v>
      </c>
      <c r="T102" s="409"/>
      <c r="U102" s="409">
        <v>0</v>
      </c>
      <c r="V102" s="409"/>
      <c r="W102" s="409">
        <v>0</v>
      </c>
      <c r="X102" s="409"/>
      <c r="Y102" s="409">
        <v>0</v>
      </c>
      <c r="Z102" s="409"/>
      <c r="AA102" s="409">
        <v>0</v>
      </c>
      <c r="AB102" s="409">
        <v>0</v>
      </c>
      <c r="AC102" s="409">
        <f t="shared" ref="AC102:AC109" si="9">B102-C102-D102+E102-F102+G102-H102+I102-J102+K102-L102+M102-N102+O102-P102+Q102-R102+S102-T102+U102-V102+W102-X102+Y102-Z102+AA102+AB102</f>
        <v>5842.51</v>
      </c>
      <c r="AD102" s="581"/>
      <c r="AE102" s="419">
        <v>5842.51</v>
      </c>
      <c r="AF102" s="587">
        <f t="shared" si="6"/>
        <v>0</v>
      </c>
      <c r="AG102" s="587">
        <f t="shared" si="7"/>
        <v>0</v>
      </c>
      <c r="AH102" s="587">
        <f t="shared" si="8"/>
        <v>5842.51</v>
      </c>
    </row>
    <row r="103" spans="1:34" ht="30.75" customHeight="1" x14ac:dyDescent="0.75">
      <c r="A103" s="441" t="s">
        <v>369</v>
      </c>
      <c r="B103" s="409">
        <v>0</v>
      </c>
      <c r="C103" s="429"/>
      <c r="D103" s="430"/>
      <c r="E103" s="431">
        <v>952.54</v>
      </c>
      <c r="F103" s="431"/>
      <c r="G103" s="431">
        <v>0</v>
      </c>
      <c r="H103" s="431"/>
      <c r="I103" s="431">
        <v>0</v>
      </c>
      <c r="J103" s="431"/>
      <c r="K103" s="431">
        <v>0</v>
      </c>
      <c r="L103" s="431"/>
      <c r="M103" s="431">
        <v>0</v>
      </c>
      <c r="N103" s="431"/>
      <c r="O103" s="431">
        <v>1205.52</v>
      </c>
      <c r="P103" s="431">
        <v>0</v>
      </c>
      <c r="Q103" s="431">
        <v>0</v>
      </c>
      <c r="R103" s="431"/>
      <c r="S103" s="431">
        <v>0</v>
      </c>
      <c r="T103" s="431"/>
      <c r="U103" s="431">
        <v>0</v>
      </c>
      <c r="V103" s="431"/>
      <c r="W103" s="431">
        <v>0</v>
      </c>
      <c r="X103" s="431"/>
      <c r="Y103" s="431">
        <v>0</v>
      </c>
      <c r="Z103" s="431"/>
      <c r="AA103" s="431">
        <v>0</v>
      </c>
      <c r="AB103" s="431">
        <v>0</v>
      </c>
      <c r="AC103" s="409">
        <f t="shared" si="9"/>
        <v>2158.06</v>
      </c>
      <c r="AD103" s="581"/>
      <c r="AE103" s="419">
        <v>0</v>
      </c>
      <c r="AF103" s="587">
        <f t="shared" si="6"/>
        <v>2158.06</v>
      </c>
      <c r="AG103" s="587">
        <f t="shared" si="7"/>
        <v>0</v>
      </c>
      <c r="AH103" s="587">
        <f t="shared" si="8"/>
        <v>2158.06</v>
      </c>
    </row>
    <row r="104" spans="1:34" ht="30.75" customHeight="1" x14ac:dyDescent="0.75">
      <c r="A104" s="441" t="s">
        <v>370</v>
      </c>
      <c r="B104" s="409">
        <v>0</v>
      </c>
      <c r="C104" s="429"/>
      <c r="D104" s="430"/>
      <c r="E104" s="431"/>
      <c r="F104" s="431"/>
      <c r="G104" s="431"/>
      <c r="H104" s="431"/>
      <c r="I104" s="431">
        <v>732999.4</v>
      </c>
      <c r="J104" s="431"/>
      <c r="K104" s="431">
        <v>318370.12</v>
      </c>
      <c r="L104" s="431"/>
      <c r="M104" s="431">
        <v>139603.06</v>
      </c>
      <c r="N104" s="431">
        <f>732999.4+318370.12</f>
        <v>1051369.52</v>
      </c>
      <c r="O104" s="431">
        <v>173835.04</v>
      </c>
      <c r="P104" s="431">
        <f>139603.06+173835.04</f>
        <v>313438.09999999998</v>
      </c>
      <c r="Q104" s="431">
        <v>273279.55</v>
      </c>
      <c r="R104" s="431"/>
      <c r="S104" s="431">
        <v>122894.53</v>
      </c>
      <c r="T104" s="431">
        <v>273762</v>
      </c>
      <c r="U104" s="431">
        <v>128686.14</v>
      </c>
      <c r="V104" s="431">
        <v>238976.18</v>
      </c>
      <c r="W104" s="431">
        <v>139430.54</v>
      </c>
      <c r="X104" s="431">
        <v>139430.54</v>
      </c>
      <c r="Y104" s="431">
        <v>123434.69</v>
      </c>
      <c r="Z104" s="431">
        <f>364+123434.68</f>
        <v>123798.68</v>
      </c>
      <c r="AA104" s="431">
        <v>153654.76999999999</v>
      </c>
      <c r="AB104" s="431">
        <v>267939.23</v>
      </c>
      <c r="AC104" s="409">
        <f t="shared" si="9"/>
        <v>433352.05000000005</v>
      </c>
      <c r="AD104" s="581"/>
      <c r="AE104" s="419">
        <v>0</v>
      </c>
      <c r="AF104" s="587">
        <f t="shared" si="6"/>
        <v>2574127.0700000003</v>
      </c>
      <c r="AG104" s="587">
        <f t="shared" si="7"/>
        <v>2140775.02</v>
      </c>
      <c r="AH104" s="587">
        <f t="shared" si="8"/>
        <v>433352.05000000028</v>
      </c>
    </row>
    <row r="105" spans="1:34" ht="30.75" customHeight="1" x14ac:dyDescent="0.75">
      <c r="A105" s="441" t="s">
        <v>371</v>
      </c>
      <c r="B105" s="409">
        <v>0</v>
      </c>
      <c r="C105" s="429"/>
      <c r="D105" s="430"/>
      <c r="E105" s="431"/>
      <c r="F105" s="431"/>
      <c r="G105" s="431"/>
      <c r="H105" s="431"/>
      <c r="I105" s="431">
        <v>52984.54</v>
      </c>
      <c r="J105" s="431"/>
      <c r="K105" s="431">
        <v>0</v>
      </c>
      <c r="L105" s="431"/>
      <c r="M105" s="431">
        <v>9181.19</v>
      </c>
      <c r="N105" s="431"/>
      <c r="O105" s="431">
        <v>593.91999999999996</v>
      </c>
      <c r="P105" s="431"/>
      <c r="Q105" s="431">
        <v>45713.120000000003</v>
      </c>
      <c r="R105" s="431"/>
      <c r="S105" s="431">
        <v>44680.28</v>
      </c>
      <c r="T105" s="431"/>
      <c r="U105" s="431">
        <v>35405.910000000003</v>
      </c>
      <c r="V105" s="431"/>
      <c r="W105" s="431">
        <v>1916.08</v>
      </c>
      <c r="X105" s="431"/>
      <c r="Y105" s="431">
        <v>295.89</v>
      </c>
      <c r="Z105" s="431"/>
      <c r="AA105" s="431">
        <v>0</v>
      </c>
      <c r="AB105" s="431">
        <v>0</v>
      </c>
      <c r="AC105" s="409">
        <f t="shared" si="9"/>
        <v>190770.93</v>
      </c>
      <c r="AD105" s="581"/>
      <c r="AE105" s="419">
        <v>0</v>
      </c>
      <c r="AF105" s="587">
        <f t="shared" si="6"/>
        <v>190770.93</v>
      </c>
      <c r="AG105" s="587">
        <f t="shared" si="7"/>
        <v>0</v>
      </c>
      <c r="AH105" s="587">
        <f t="shared" si="8"/>
        <v>190770.93</v>
      </c>
    </row>
    <row r="106" spans="1:34" ht="30.75" customHeight="1" x14ac:dyDescent="0.75">
      <c r="A106" s="441" t="s">
        <v>372</v>
      </c>
      <c r="B106" s="409"/>
      <c r="C106" s="429"/>
      <c r="D106" s="430"/>
      <c r="E106" s="431"/>
      <c r="F106" s="431"/>
      <c r="G106" s="431"/>
      <c r="H106" s="431"/>
      <c r="I106" s="431"/>
      <c r="J106" s="431"/>
      <c r="K106" s="431"/>
      <c r="L106" s="431"/>
      <c r="M106" s="431"/>
      <c r="N106" s="431"/>
      <c r="O106" s="431">
        <v>105953.23</v>
      </c>
      <c r="P106" s="431"/>
      <c r="Q106" s="431">
        <v>0</v>
      </c>
      <c r="R106" s="431"/>
      <c r="S106" s="431">
        <v>0</v>
      </c>
      <c r="T106" s="431">
        <v>105953.23</v>
      </c>
      <c r="U106" s="431">
        <v>0</v>
      </c>
      <c r="V106" s="431"/>
      <c r="W106" s="431">
        <v>0</v>
      </c>
      <c r="X106" s="431"/>
      <c r="Y106" s="431">
        <v>0</v>
      </c>
      <c r="Z106" s="431"/>
      <c r="AA106" s="431">
        <v>0</v>
      </c>
      <c r="AB106" s="431">
        <v>0</v>
      </c>
      <c r="AC106" s="409">
        <f t="shared" si="9"/>
        <v>0</v>
      </c>
      <c r="AD106" s="581"/>
      <c r="AE106" s="419"/>
      <c r="AF106" s="587">
        <f t="shared" si="6"/>
        <v>105953.23</v>
      </c>
      <c r="AG106" s="587">
        <f t="shared" si="7"/>
        <v>105953.23</v>
      </c>
      <c r="AH106" s="587">
        <f t="shared" si="8"/>
        <v>0</v>
      </c>
    </row>
    <row r="107" spans="1:34" ht="30.75" customHeight="1" x14ac:dyDescent="0.75">
      <c r="A107" s="441" t="s">
        <v>373</v>
      </c>
      <c r="B107" s="409"/>
      <c r="C107" s="429"/>
      <c r="D107" s="430"/>
      <c r="E107" s="431"/>
      <c r="F107" s="431"/>
      <c r="G107" s="431"/>
      <c r="H107" s="431"/>
      <c r="I107" s="431"/>
      <c r="J107" s="431"/>
      <c r="K107" s="431"/>
      <c r="L107" s="431"/>
      <c r="M107" s="431"/>
      <c r="N107" s="431"/>
      <c r="O107" s="431">
        <v>12146.73</v>
      </c>
      <c r="P107" s="431"/>
      <c r="Q107" s="431">
        <v>0</v>
      </c>
      <c r="R107" s="431"/>
      <c r="S107" s="431">
        <v>-12146.73</v>
      </c>
      <c r="T107" s="431"/>
      <c r="U107" s="431">
        <v>0</v>
      </c>
      <c r="V107" s="431"/>
      <c r="W107" s="431">
        <v>0</v>
      </c>
      <c r="X107" s="431"/>
      <c r="Y107" s="431">
        <v>0</v>
      </c>
      <c r="Z107" s="431"/>
      <c r="AA107" s="431">
        <v>0</v>
      </c>
      <c r="AB107" s="431">
        <v>0</v>
      </c>
      <c r="AC107" s="409">
        <f t="shared" si="9"/>
        <v>0</v>
      </c>
      <c r="AD107" s="581"/>
      <c r="AE107" s="419"/>
      <c r="AF107" s="587">
        <f t="shared" si="6"/>
        <v>0</v>
      </c>
      <c r="AG107" s="587">
        <f t="shared" si="7"/>
        <v>0</v>
      </c>
      <c r="AH107" s="587">
        <f t="shared" si="8"/>
        <v>0</v>
      </c>
    </row>
    <row r="108" spans="1:34" ht="30.75" customHeight="1" x14ac:dyDescent="0.75">
      <c r="A108" s="441" t="s">
        <v>374</v>
      </c>
      <c r="B108" s="409"/>
      <c r="C108" s="429"/>
      <c r="D108" s="430"/>
      <c r="E108" s="431"/>
      <c r="F108" s="431"/>
      <c r="G108" s="431"/>
      <c r="H108" s="431"/>
      <c r="I108" s="431"/>
      <c r="J108" s="431"/>
      <c r="K108" s="431"/>
      <c r="L108" s="431"/>
      <c r="M108" s="431"/>
      <c r="N108" s="431"/>
      <c r="O108" s="431"/>
      <c r="P108" s="431"/>
      <c r="Q108" s="431"/>
      <c r="R108" s="431"/>
      <c r="S108" s="431">
        <v>3085.59</v>
      </c>
      <c r="T108" s="431"/>
      <c r="U108" s="431">
        <v>-3085.59</v>
      </c>
      <c r="V108" s="431"/>
      <c r="W108" s="431">
        <v>0</v>
      </c>
      <c r="X108" s="431"/>
      <c r="Y108" s="431">
        <v>0</v>
      </c>
      <c r="Z108" s="431"/>
      <c r="AA108" s="431">
        <v>0</v>
      </c>
      <c r="AB108" s="431">
        <v>0</v>
      </c>
      <c r="AC108" s="409">
        <f t="shared" si="9"/>
        <v>0</v>
      </c>
      <c r="AD108" s="581"/>
      <c r="AE108" s="419"/>
      <c r="AF108" s="587">
        <f t="shared" si="6"/>
        <v>0</v>
      </c>
      <c r="AG108" s="587">
        <f t="shared" si="7"/>
        <v>0</v>
      </c>
      <c r="AH108" s="587">
        <f t="shared" si="8"/>
        <v>0</v>
      </c>
    </row>
    <row r="109" spans="1:34" ht="30.75" customHeight="1" x14ac:dyDescent="0.75">
      <c r="A109" s="441" t="s">
        <v>375</v>
      </c>
      <c r="B109" s="409"/>
      <c r="C109" s="429"/>
      <c r="D109" s="430"/>
      <c r="E109" s="431"/>
      <c r="F109" s="431"/>
      <c r="G109" s="431"/>
      <c r="H109" s="431"/>
      <c r="I109" s="431"/>
      <c r="J109" s="431"/>
      <c r="K109" s="431"/>
      <c r="L109" s="431"/>
      <c r="M109" s="431"/>
      <c r="N109" s="431"/>
      <c r="O109" s="431"/>
      <c r="P109" s="431"/>
      <c r="Q109" s="431"/>
      <c r="R109" s="431"/>
      <c r="S109" s="431"/>
      <c r="T109" s="431"/>
      <c r="U109" s="431">
        <v>12519.97</v>
      </c>
      <c r="V109" s="431"/>
      <c r="W109" s="431">
        <v>0</v>
      </c>
      <c r="X109" s="431"/>
      <c r="Y109" s="431">
        <v>0</v>
      </c>
      <c r="Z109" s="431"/>
      <c r="AA109" s="431">
        <v>0</v>
      </c>
      <c r="AB109" s="431">
        <v>0</v>
      </c>
      <c r="AC109" s="409">
        <f t="shared" si="9"/>
        <v>12519.97</v>
      </c>
      <c r="AD109" s="581"/>
      <c r="AE109" s="419"/>
      <c r="AF109" s="587">
        <f t="shared" si="6"/>
        <v>12519.97</v>
      </c>
      <c r="AG109" s="587">
        <f t="shared" si="7"/>
        <v>0</v>
      </c>
      <c r="AH109" s="587">
        <f t="shared" si="8"/>
        <v>12519.97</v>
      </c>
    </row>
    <row r="110" spans="1:34" ht="30.75" customHeight="1" thickBot="1" x14ac:dyDescent="0.8">
      <c r="A110" s="441" t="s">
        <v>343</v>
      </c>
      <c r="B110" s="409">
        <f>'2014-2015'!AC103</f>
        <v>42307.12</v>
      </c>
      <c r="C110" s="429"/>
      <c r="D110" s="430">
        <v>14870.12</v>
      </c>
      <c r="E110" s="431">
        <v>86446.84</v>
      </c>
      <c r="F110" s="431"/>
      <c r="G110" s="431">
        <v>46622.75</v>
      </c>
      <c r="H110" s="431"/>
      <c r="I110" s="431">
        <v>104476.04</v>
      </c>
      <c r="J110" s="431">
        <v>226431.02</v>
      </c>
      <c r="K110" s="431">
        <v>77656.59</v>
      </c>
      <c r="L110" s="431">
        <f>90761.63+40000</f>
        <v>130761.63</v>
      </c>
      <c r="M110" s="431">
        <v>47736.23</v>
      </c>
      <c r="N110" s="431">
        <v>79703.23</v>
      </c>
      <c r="O110" s="431">
        <v>140824.24</v>
      </c>
      <c r="P110" s="431"/>
      <c r="Q110" s="431">
        <v>111646.24</v>
      </c>
      <c r="R110" s="431">
        <v>76890.240000000005</v>
      </c>
      <c r="S110" s="431">
        <v>83208.740000000005</v>
      </c>
      <c r="T110" s="431"/>
      <c r="U110" s="431">
        <v>76020.89</v>
      </c>
      <c r="V110" s="431"/>
      <c r="W110" s="431">
        <v>75677.73</v>
      </c>
      <c r="X110" s="431"/>
      <c r="Y110" s="431">
        <v>71969.58</v>
      </c>
      <c r="Z110" s="431">
        <v>373990.6</v>
      </c>
      <c r="AA110" s="431">
        <v>59404</v>
      </c>
      <c r="AB110" s="431">
        <v>11691.98</v>
      </c>
      <c r="AC110" s="431">
        <f>B110-C110-D110+E110-F110+G110-H110+I110-J110+K110-L110+M110-N110+O110-P110+Q110-R110+S110-T110+U110-V110+W110-X110+Y110-Z110+AA110+AB110</f>
        <v>133042.13000000003</v>
      </c>
      <c r="AD110" s="581"/>
      <c r="AE110" s="419">
        <v>42307.12</v>
      </c>
      <c r="AF110" s="587">
        <f t="shared" si="6"/>
        <v>993381.84999999986</v>
      </c>
      <c r="AG110" s="587">
        <f t="shared" si="7"/>
        <v>902646.84</v>
      </c>
      <c r="AH110" s="587">
        <f t="shared" si="8"/>
        <v>133042.12999999989</v>
      </c>
    </row>
    <row r="111" spans="1:34" ht="30.75" customHeight="1" thickBot="1" x14ac:dyDescent="0.8">
      <c r="A111" s="445" t="s">
        <v>6</v>
      </c>
      <c r="B111" s="446">
        <f>SUM(B6:B110)</f>
        <v>342193835.45500004</v>
      </c>
      <c r="C111" s="447">
        <f>SUM(C6:C98)</f>
        <v>0</v>
      </c>
      <c r="D111" s="448">
        <f>SUM(D6:D110)</f>
        <v>96951707.979999959</v>
      </c>
      <c r="E111" s="449">
        <f>SUM(E6:E110)</f>
        <v>70185343.420000032</v>
      </c>
      <c r="F111" s="449">
        <f>SUM(F6:F110)</f>
        <v>73341663.200000033</v>
      </c>
      <c r="G111" s="449">
        <f>SUM(G6:G110)</f>
        <v>59528796.710000001</v>
      </c>
      <c r="H111" s="449">
        <f>SUM(H6:H98)</f>
        <v>40117538.99000001</v>
      </c>
      <c r="I111" s="449">
        <f t="shared" ref="I111:O111" si="10">SUM(I6:I110)</f>
        <v>55227572.160000004</v>
      </c>
      <c r="J111" s="449">
        <f t="shared" si="10"/>
        <v>61108331.82</v>
      </c>
      <c r="K111" s="449">
        <f t="shared" si="10"/>
        <v>59740489.100000001</v>
      </c>
      <c r="L111" s="449">
        <f t="shared" si="10"/>
        <v>57973159.449999988</v>
      </c>
      <c r="M111" s="449">
        <f t="shared" si="10"/>
        <v>60318341.040000007</v>
      </c>
      <c r="N111" s="449">
        <f t="shared" si="10"/>
        <v>72335107.769999996</v>
      </c>
      <c r="O111" s="449">
        <f t="shared" si="10"/>
        <v>59076270.510000013</v>
      </c>
      <c r="P111" s="449">
        <f t="shared" ref="P111:U111" si="11">SUM(P6:P110)</f>
        <v>41019421.740000002</v>
      </c>
      <c r="Q111" s="449">
        <f t="shared" si="11"/>
        <v>62468923.269999981</v>
      </c>
      <c r="R111" s="449">
        <f t="shared" si="11"/>
        <v>38832957.340000004</v>
      </c>
      <c r="S111" s="449">
        <f t="shared" si="11"/>
        <v>65182950.430000052</v>
      </c>
      <c r="T111" s="449">
        <f t="shared" si="11"/>
        <v>105915025.68000001</v>
      </c>
      <c r="U111" s="450">
        <f t="shared" si="11"/>
        <v>56648905.369999975</v>
      </c>
      <c r="V111" s="449">
        <f t="shared" ref="V111:AA111" si="12">SUM(V6:V110)</f>
        <v>28294966.669999998</v>
      </c>
      <c r="W111" s="449">
        <f t="shared" si="12"/>
        <v>53335228.890000008</v>
      </c>
      <c r="X111" s="449">
        <f t="shared" si="12"/>
        <v>57377990.099999987</v>
      </c>
      <c r="Y111" s="449">
        <f t="shared" si="12"/>
        <v>60717961.310000025</v>
      </c>
      <c r="Z111" s="449">
        <f t="shared" si="12"/>
        <v>136525921.60999998</v>
      </c>
      <c r="AA111" s="451">
        <f t="shared" si="12"/>
        <v>45227605.899999999</v>
      </c>
      <c r="AB111" s="450">
        <f>SUM(AB6:AB110)</f>
        <v>17668507.109999999</v>
      </c>
      <c r="AC111" s="446">
        <f>SUM(AC6:AC110)</f>
        <v>257726938.32500011</v>
      </c>
      <c r="AD111" s="581"/>
      <c r="AE111" s="588">
        <f>SUM(AE6:AE110)</f>
        <v>342193835.45500004</v>
      </c>
      <c r="AF111" s="588">
        <f>SUM(AF6:AF110)</f>
        <v>725326895.22000027</v>
      </c>
      <c r="AG111" s="588">
        <f>SUM(AG6:AG110)</f>
        <v>809793792.3499999</v>
      </c>
      <c r="AH111" s="588">
        <f>SUM(AH6:AH110)</f>
        <v>257726938.32500011</v>
      </c>
    </row>
    <row r="112" spans="1:34" ht="30.75" customHeight="1" x14ac:dyDescent="0.75">
      <c r="AE112" s="246"/>
    </row>
    <row r="113" spans="1:29" ht="30.75" customHeight="1" x14ac:dyDescent="0.75">
      <c r="A113" s="452" t="s">
        <v>317</v>
      </c>
      <c r="B113" s="394"/>
      <c r="C113" s="395"/>
      <c r="D113" s="394"/>
      <c r="E113" s="397">
        <v>392185.4</v>
      </c>
      <c r="G113" s="397">
        <v>531366.56000000006</v>
      </c>
      <c r="I113" s="397">
        <v>453519.93</v>
      </c>
      <c r="K113" s="397">
        <v>485445.39</v>
      </c>
      <c r="M113" s="397">
        <v>587615.73</v>
      </c>
      <c r="O113" s="397">
        <v>564566.46</v>
      </c>
      <c r="Q113" s="453">
        <v>311144.93</v>
      </c>
      <c r="S113" s="397">
        <v>517008.6</v>
      </c>
      <c r="U113" s="397">
        <v>492427.61</v>
      </c>
      <c r="W113" s="397">
        <v>372338.73</v>
      </c>
      <c r="Y113" s="397">
        <v>408100.55</v>
      </c>
      <c r="AA113" s="397">
        <v>13662.42</v>
      </c>
      <c r="AB113" s="397">
        <v>342142.6</v>
      </c>
      <c r="AC113" s="454"/>
    </row>
    <row r="114" spans="1:29" ht="30.75" customHeight="1" x14ac:dyDescent="0.75">
      <c r="A114" s="452" t="s">
        <v>318</v>
      </c>
      <c r="B114" s="455"/>
      <c r="C114" s="456"/>
      <c r="D114" s="455"/>
      <c r="E114" s="457">
        <f>E111+E113</f>
        <v>70577528.820000038</v>
      </c>
      <c r="F114" s="457"/>
      <c r="G114" s="457">
        <f>G111+G113</f>
        <v>60060163.270000003</v>
      </c>
      <c r="H114" s="457"/>
      <c r="I114" s="457">
        <f>SUM(I111:I113)</f>
        <v>55681092.090000004</v>
      </c>
      <c r="J114" s="457"/>
      <c r="K114" s="457">
        <f>K111+K113</f>
        <v>60225934.490000002</v>
      </c>
      <c r="L114" s="457"/>
      <c r="M114" s="457">
        <f>M111+M113</f>
        <v>60905956.770000003</v>
      </c>
      <c r="N114" s="457"/>
      <c r="O114" s="457">
        <f>O111+O113</f>
        <v>59640836.970000014</v>
      </c>
      <c r="P114" s="457"/>
      <c r="Q114" s="457">
        <f>Q111+Q113</f>
        <v>62780068.199999981</v>
      </c>
      <c r="R114" s="457">
        <f>38832957.34-R111</f>
        <v>0</v>
      </c>
      <c r="S114" s="457">
        <f>S111+S113</f>
        <v>65699959.030000053</v>
      </c>
      <c r="T114" s="457"/>
      <c r="U114" s="457">
        <f>U111+U113</f>
        <v>57141332.979999974</v>
      </c>
      <c r="V114" s="457">
        <f>V111-28294966.67</f>
        <v>0</v>
      </c>
      <c r="W114" s="457">
        <f>W111+W113</f>
        <v>53707567.620000005</v>
      </c>
      <c r="X114" s="457">
        <f>X111-57377990.1</f>
        <v>0</v>
      </c>
      <c r="Y114" s="457">
        <f>Y111+Y113</f>
        <v>61126061.860000022</v>
      </c>
      <c r="Z114" s="457">
        <v>0</v>
      </c>
      <c r="AA114" s="457">
        <f>AA111+AA113</f>
        <v>45241268.32</v>
      </c>
      <c r="AB114" s="457">
        <f>AB111+AB113</f>
        <v>18010649.710000001</v>
      </c>
      <c r="AC114" s="394"/>
    </row>
    <row r="115" spans="1:29" ht="30.75" customHeight="1" x14ac:dyDescent="0.75">
      <c r="J115" s="397">
        <f>J111-61136337.1</f>
        <v>-28005.280000001192</v>
      </c>
      <c r="L115" s="397">
        <f>L111-57973159.45</f>
        <v>0</v>
      </c>
      <c r="N115" s="397">
        <f>N111-72335107.77</f>
        <v>0</v>
      </c>
      <c r="Q115" s="397">
        <f>Q114-62780068.2</f>
        <v>0</v>
      </c>
      <c r="AB115" s="397">
        <f>18010649.71-AB114</f>
        <v>0</v>
      </c>
    </row>
    <row r="116" spans="1:29" ht="30.75" customHeight="1" x14ac:dyDescent="0.75">
      <c r="K116" s="397">
        <f>K114+M114+O114</f>
        <v>180772728.23000002</v>
      </c>
      <c r="S116" s="397">
        <f>S114-65699959.03</f>
        <v>0</v>
      </c>
    </row>
    <row r="117" spans="1:29" ht="30.75" customHeight="1" x14ac:dyDescent="0.75">
      <c r="K117" s="397">
        <f>J111+L111+N111</f>
        <v>191416599.03999996</v>
      </c>
    </row>
  </sheetData>
  <mergeCells count="1">
    <mergeCell ref="A1:A2"/>
  </mergeCells>
  <pageMargins left="0.7" right="0.7" top="0.75" bottom="0.75" header="0.3" footer="0.3"/>
  <pageSetup paperSize="9" scale="11" orientation="landscape" verticalDpi="4" r:id="rId1"/>
  <rowBreaks count="1" manualBreakCount="1">
    <brk id="91"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U122"/>
  <sheetViews>
    <sheetView zoomScaleNormal="100" zoomScaleSheetLayoutView="55" workbookViewId="0">
      <pane ySplit="4" topLeftCell="A5" activePane="bottomLeft" state="frozen"/>
      <selection activeCell="R1" sqref="R1"/>
      <selection pane="bottomLeft" activeCell="B104" sqref="B104"/>
    </sheetView>
  </sheetViews>
  <sheetFormatPr defaultColWidth="9.08984375" defaultRowHeight="23.25" customHeight="1" x14ac:dyDescent="0.45"/>
  <cols>
    <col min="1" max="1" width="78.54296875" style="459" customWidth="1"/>
    <col min="2" max="3" width="32.453125" style="459" customWidth="1"/>
    <col min="4" max="15" width="32.453125" style="460" customWidth="1"/>
    <col min="16" max="16" width="32.453125" style="461" customWidth="1"/>
    <col min="17" max="17" width="32.453125" style="459" customWidth="1"/>
    <col min="18" max="28" width="32.453125" style="461" customWidth="1"/>
    <col min="29" max="34" width="32.453125" style="460" customWidth="1"/>
    <col min="35" max="35" width="186.36328125" style="462" customWidth="1"/>
    <col min="36" max="125" width="9.08984375" style="459"/>
    <col min="126" max="16384" width="9.08984375" style="463"/>
  </cols>
  <sheetData>
    <row r="1" spans="1:125" ht="23.25" customHeight="1" x14ac:dyDescent="0.45">
      <c r="A1" s="1036" t="s">
        <v>0</v>
      </c>
      <c r="B1" s="458"/>
      <c r="C1" s="688"/>
      <c r="Q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688"/>
      <c r="CC1" s="688"/>
      <c r="CD1" s="688"/>
      <c r="CE1" s="688"/>
      <c r="CF1" s="688"/>
      <c r="CG1" s="688"/>
      <c r="CH1" s="688"/>
      <c r="CI1" s="688"/>
      <c r="CJ1" s="688"/>
      <c r="CK1" s="688"/>
      <c r="CL1" s="688"/>
      <c r="CM1" s="688"/>
      <c r="CN1" s="688"/>
      <c r="CO1" s="688"/>
      <c r="CP1" s="688"/>
      <c r="CQ1" s="688"/>
      <c r="CR1" s="688"/>
      <c r="CS1" s="688"/>
      <c r="CT1" s="688"/>
      <c r="CU1" s="688"/>
      <c r="CV1" s="688"/>
      <c r="CW1" s="688"/>
      <c r="CX1" s="688"/>
      <c r="CY1" s="688"/>
      <c r="CZ1" s="688"/>
      <c r="DA1" s="688"/>
      <c r="DB1" s="688"/>
      <c r="DC1" s="688"/>
      <c r="DD1" s="688"/>
      <c r="DE1" s="688"/>
      <c r="DF1" s="688"/>
      <c r="DG1" s="688"/>
      <c r="DH1" s="688"/>
      <c r="DI1" s="688"/>
      <c r="DJ1" s="688"/>
      <c r="DK1" s="688"/>
      <c r="DL1" s="688"/>
      <c r="DM1" s="688"/>
      <c r="DN1" s="688"/>
      <c r="DO1" s="688"/>
      <c r="DP1" s="688"/>
      <c r="DQ1" s="688"/>
      <c r="DR1" s="688"/>
      <c r="DS1" s="688"/>
      <c r="DT1" s="688"/>
      <c r="DU1" s="688"/>
    </row>
    <row r="2" spans="1:125" ht="23.25" customHeight="1" thickBot="1" x14ac:dyDescent="0.5">
      <c r="A2" s="1037"/>
      <c r="B2" s="688"/>
      <c r="C2" s="458"/>
      <c r="Q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688"/>
      <c r="BJ2" s="688"/>
      <c r="BK2" s="688"/>
      <c r="BL2" s="688"/>
      <c r="BM2" s="688"/>
      <c r="BN2" s="688"/>
      <c r="BO2" s="688"/>
      <c r="BP2" s="688"/>
      <c r="BQ2" s="688"/>
      <c r="BR2" s="688"/>
      <c r="BS2" s="688"/>
      <c r="BT2" s="688"/>
      <c r="BU2" s="688"/>
      <c r="BV2" s="688"/>
      <c r="BW2" s="688"/>
      <c r="BX2" s="688"/>
      <c r="BY2" s="688"/>
      <c r="BZ2" s="688"/>
      <c r="CA2" s="688"/>
      <c r="CB2" s="688"/>
      <c r="CC2" s="688"/>
      <c r="CD2" s="688"/>
      <c r="CE2" s="688"/>
      <c r="CF2" s="688"/>
      <c r="CG2" s="688"/>
      <c r="CH2" s="688"/>
      <c r="CI2" s="688"/>
      <c r="CJ2" s="688"/>
      <c r="CK2" s="688"/>
      <c r="CL2" s="688"/>
      <c r="CM2" s="688"/>
      <c r="CN2" s="688"/>
      <c r="CO2" s="688"/>
      <c r="CP2" s="688"/>
      <c r="CQ2" s="688"/>
      <c r="CR2" s="688"/>
      <c r="CS2" s="688"/>
      <c r="CT2" s="688"/>
      <c r="CU2" s="688"/>
      <c r="CV2" s="688"/>
      <c r="CW2" s="688"/>
      <c r="CX2" s="688"/>
      <c r="CY2" s="688"/>
      <c r="CZ2" s="688"/>
      <c r="DA2" s="688"/>
      <c r="DB2" s="688"/>
      <c r="DC2" s="688"/>
      <c r="DD2" s="688"/>
      <c r="DE2" s="688"/>
      <c r="DF2" s="688"/>
      <c r="DG2" s="688"/>
      <c r="DH2" s="688"/>
      <c r="DI2" s="688"/>
      <c r="DJ2" s="688"/>
      <c r="DK2" s="688"/>
      <c r="DL2" s="688"/>
      <c r="DM2" s="688"/>
      <c r="DN2" s="688"/>
      <c r="DO2" s="688"/>
      <c r="DP2" s="688"/>
      <c r="DQ2" s="688"/>
      <c r="DR2" s="688"/>
      <c r="DS2" s="688"/>
      <c r="DT2" s="688"/>
      <c r="DU2" s="688"/>
    </row>
    <row r="3" spans="1:125" ht="23.25" customHeight="1" thickBot="1" x14ac:dyDescent="0.5">
      <c r="A3" s="685">
        <v>42825</v>
      </c>
      <c r="B3" s="464" t="s">
        <v>293</v>
      </c>
      <c r="C3" s="464"/>
      <c r="D3" s="464" t="s">
        <v>3</v>
      </c>
      <c r="E3" s="464" t="s">
        <v>5</v>
      </c>
      <c r="F3" s="464" t="s">
        <v>3</v>
      </c>
      <c r="G3" s="464" t="s">
        <v>5</v>
      </c>
      <c r="H3" s="464" t="s">
        <v>3</v>
      </c>
      <c r="I3" s="464" t="s">
        <v>5</v>
      </c>
      <c r="J3" s="464" t="s">
        <v>3</v>
      </c>
      <c r="K3" s="464" t="s">
        <v>5</v>
      </c>
      <c r="L3" s="464" t="s">
        <v>3</v>
      </c>
      <c r="M3" s="464" t="s">
        <v>5</v>
      </c>
      <c r="N3" s="464" t="s">
        <v>3</v>
      </c>
      <c r="O3" s="464" t="s">
        <v>5</v>
      </c>
      <c r="P3" s="465" t="s">
        <v>3</v>
      </c>
      <c r="Q3" s="464" t="s">
        <v>5</v>
      </c>
      <c r="R3" s="465" t="s">
        <v>181</v>
      </c>
      <c r="S3" s="465" t="s">
        <v>5</v>
      </c>
      <c r="T3" s="465" t="s">
        <v>181</v>
      </c>
      <c r="U3" s="465" t="s">
        <v>5</v>
      </c>
      <c r="V3" s="465" t="s">
        <v>181</v>
      </c>
      <c r="W3" s="465" t="s">
        <v>5</v>
      </c>
      <c r="X3" s="465" t="s">
        <v>181</v>
      </c>
      <c r="Y3" s="465" t="s">
        <v>5</v>
      </c>
      <c r="Z3" s="465" t="s">
        <v>181</v>
      </c>
      <c r="AA3" s="465" t="s">
        <v>5</v>
      </c>
      <c r="AB3" s="523" t="s">
        <v>5</v>
      </c>
      <c r="AC3" s="466" t="s">
        <v>6</v>
      </c>
      <c r="AD3" s="512"/>
      <c r="AE3" s="466"/>
      <c r="AF3" s="466" t="s">
        <v>318</v>
      </c>
      <c r="AG3" s="464" t="s">
        <v>376</v>
      </c>
      <c r="AH3" s="518"/>
      <c r="AI3" s="511" t="s">
        <v>377</v>
      </c>
      <c r="AJ3" s="688"/>
      <c r="AK3" s="688"/>
      <c r="AL3" s="688"/>
      <c r="AM3" s="688"/>
      <c r="AN3" s="688"/>
      <c r="AO3" s="688"/>
      <c r="AP3" s="688"/>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8"/>
      <c r="CC3" s="688"/>
      <c r="CD3" s="688"/>
      <c r="CE3" s="688"/>
      <c r="CF3" s="688"/>
      <c r="CG3" s="688"/>
      <c r="CH3" s="688"/>
      <c r="CI3" s="688"/>
      <c r="CJ3" s="688"/>
      <c r="CK3" s="688"/>
      <c r="CL3" s="688"/>
      <c r="CM3" s="688"/>
      <c r="CN3" s="688"/>
      <c r="CO3" s="688"/>
      <c r="CP3" s="688"/>
      <c r="CQ3" s="688"/>
      <c r="CR3" s="688"/>
      <c r="CS3" s="688"/>
      <c r="CT3" s="688"/>
      <c r="CU3" s="688"/>
      <c r="CV3" s="688"/>
      <c r="CW3" s="688"/>
      <c r="CX3" s="688"/>
      <c r="CY3" s="688"/>
      <c r="CZ3" s="688"/>
      <c r="DA3" s="688"/>
      <c r="DB3" s="688"/>
      <c r="DC3" s="688"/>
      <c r="DD3" s="688"/>
      <c r="DE3" s="688"/>
      <c r="DF3" s="688"/>
      <c r="DG3" s="688"/>
      <c r="DH3" s="688"/>
      <c r="DI3" s="688"/>
      <c r="DJ3" s="688"/>
      <c r="DK3" s="688"/>
      <c r="DL3" s="688"/>
      <c r="DM3" s="688"/>
      <c r="DN3" s="688"/>
      <c r="DO3" s="688"/>
      <c r="DP3" s="688"/>
      <c r="DQ3" s="688"/>
      <c r="DR3" s="688"/>
      <c r="DS3" s="688"/>
      <c r="DT3" s="688"/>
      <c r="DU3" s="688"/>
    </row>
    <row r="4" spans="1:125" ht="23.25" customHeight="1" thickBot="1" x14ac:dyDescent="0.5">
      <c r="A4" s="687"/>
      <c r="B4" s="467" t="s">
        <v>213</v>
      </c>
      <c r="C4" s="467" t="s">
        <v>319</v>
      </c>
      <c r="D4" s="467" t="s">
        <v>378</v>
      </c>
      <c r="E4" s="468" t="s">
        <v>378</v>
      </c>
      <c r="F4" s="468" t="s">
        <v>379</v>
      </c>
      <c r="G4" s="468" t="s">
        <v>379</v>
      </c>
      <c r="H4" s="468" t="s">
        <v>380</v>
      </c>
      <c r="I4" s="468" t="s">
        <v>380</v>
      </c>
      <c r="J4" s="469" t="s">
        <v>381</v>
      </c>
      <c r="K4" s="469" t="s">
        <v>381</v>
      </c>
      <c r="L4" s="469" t="s">
        <v>382</v>
      </c>
      <c r="M4" s="469" t="s">
        <v>382</v>
      </c>
      <c r="N4" s="469" t="s">
        <v>383</v>
      </c>
      <c r="O4" s="469" t="s">
        <v>383</v>
      </c>
      <c r="P4" s="470" t="s">
        <v>384</v>
      </c>
      <c r="Q4" s="469" t="s">
        <v>384</v>
      </c>
      <c r="R4" s="470" t="s">
        <v>385</v>
      </c>
      <c r="S4" s="470" t="s">
        <v>385</v>
      </c>
      <c r="T4" s="470" t="s">
        <v>386</v>
      </c>
      <c r="U4" s="470" t="s">
        <v>386</v>
      </c>
      <c r="V4" s="470" t="s">
        <v>387</v>
      </c>
      <c r="W4" s="470" t="s">
        <v>387</v>
      </c>
      <c r="X4" s="470" t="s">
        <v>388</v>
      </c>
      <c r="Y4" s="470" t="s">
        <v>388</v>
      </c>
      <c r="Z4" s="470" t="s">
        <v>389</v>
      </c>
      <c r="AA4" s="470" t="s">
        <v>390</v>
      </c>
      <c r="AB4" s="524" t="s">
        <v>389</v>
      </c>
      <c r="AC4" s="471"/>
      <c r="AD4" s="513"/>
      <c r="AE4" s="471"/>
      <c r="AF4" s="471"/>
      <c r="AG4" s="471"/>
      <c r="AH4" s="471"/>
      <c r="AI4" s="472"/>
      <c r="AJ4" s="688"/>
      <c r="AK4" s="688"/>
      <c r="AL4" s="688"/>
      <c r="AM4" s="688"/>
      <c r="AN4" s="688"/>
      <c r="AO4" s="688"/>
      <c r="AP4" s="688"/>
      <c r="AQ4" s="688"/>
      <c r="AR4" s="688"/>
      <c r="AS4" s="688"/>
      <c r="AT4" s="688"/>
      <c r="AU4" s="688"/>
      <c r="AV4" s="688"/>
      <c r="AW4" s="688"/>
      <c r="AX4" s="688"/>
      <c r="AY4" s="688"/>
      <c r="AZ4" s="688"/>
      <c r="BA4" s="688"/>
      <c r="BB4" s="688"/>
      <c r="BC4" s="688"/>
      <c r="BD4" s="688"/>
      <c r="BE4" s="688"/>
      <c r="BF4" s="688"/>
      <c r="BG4" s="688"/>
      <c r="BH4" s="688"/>
      <c r="BI4" s="688"/>
      <c r="BJ4" s="688"/>
      <c r="BK4" s="688"/>
      <c r="BL4" s="688"/>
      <c r="BM4" s="688"/>
      <c r="BN4" s="688"/>
      <c r="BO4" s="688"/>
      <c r="BP4" s="688"/>
      <c r="BQ4" s="688"/>
      <c r="BR4" s="688"/>
      <c r="BS4" s="688"/>
      <c r="BT4" s="688"/>
      <c r="BU4" s="688"/>
      <c r="BV4" s="688"/>
      <c r="BW4" s="688"/>
      <c r="BX4" s="688"/>
      <c r="BY4" s="688"/>
      <c r="BZ4" s="688"/>
      <c r="CA4" s="688"/>
      <c r="CB4" s="688"/>
      <c r="CC4" s="688"/>
      <c r="CD4" s="688"/>
      <c r="CE4" s="688"/>
      <c r="CF4" s="688"/>
      <c r="CG4" s="688"/>
      <c r="CH4" s="688"/>
      <c r="CI4" s="688"/>
      <c r="CJ4" s="688"/>
      <c r="CK4" s="688"/>
      <c r="CL4" s="688"/>
      <c r="CM4" s="688"/>
      <c r="CN4" s="688"/>
      <c r="CO4" s="688"/>
      <c r="CP4" s="688"/>
      <c r="CQ4" s="688"/>
      <c r="CR4" s="688"/>
      <c r="CS4" s="688"/>
      <c r="CT4" s="688"/>
      <c r="CU4" s="688"/>
      <c r="CV4" s="688"/>
      <c r="CW4" s="688"/>
      <c r="CX4" s="688"/>
      <c r="CY4" s="688"/>
      <c r="CZ4" s="688"/>
      <c r="DA4" s="688"/>
      <c r="DB4" s="688"/>
      <c r="DC4" s="688"/>
      <c r="DD4" s="688"/>
      <c r="DE4" s="688"/>
      <c r="DF4" s="688"/>
      <c r="DG4" s="688"/>
      <c r="DH4" s="688"/>
      <c r="DI4" s="688"/>
      <c r="DJ4" s="688"/>
      <c r="DK4" s="688"/>
      <c r="DL4" s="688"/>
      <c r="DM4" s="688"/>
      <c r="DN4" s="688"/>
      <c r="DO4" s="688"/>
      <c r="DP4" s="688"/>
      <c r="DQ4" s="688"/>
      <c r="DR4" s="688"/>
      <c r="DS4" s="688"/>
      <c r="DT4" s="688"/>
      <c r="DU4" s="688"/>
    </row>
    <row r="5" spans="1:125" ht="23.25" customHeight="1" x14ac:dyDescent="0.45">
      <c r="A5" s="688"/>
      <c r="B5" s="688"/>
      <c r="C5" s="688"/>
      <c r="O5" s="473"/>
      <c r="Q5" s="688"/>
      <c r="AB5" s="525"/>
      <c r="AC5" s="473"/>
      <c r="AD5" s="519"/>
      <c r="AE5" s="473"/>
      <c r="AF5" s="473"/>
      <c r="AG5" s="473"/>
      <c r="AH5" s="473"/>
      <c r="AJ5" s="688"/>
      <c r="AK5" s="688"/>
      <c r="AL5" s="688"/>
      <c r="AM5" s="688"/>
      <c r="AN5" s="688"/>
      <c r="AO5" s="688"/>
      <c r="AP5" s="688"/>
      <c r="AQ5" s="688"/>
      <c r="AR5" s="688"/>
      <c r="AS5" s="688"/>
      <c r="AT5" s="688"/>
      <c r="AU5" s="688"/>
      <c r="AV5" s="688"/>
      <c r="AW5" s="688"/>
      <c r="AX5" s="688"/>
      <c r="AY5" s="688"/>
      <c r="AZ5" s="688"/>
      <c r="BA5" s="688"/>
      <c r="BB5" s="688"/>
      <c r="BC5" s="688"/>
      <c r="BD5" s="688"/>
      <c r="BE5" s="688"/>
      <c r="BF5" s="688"/>
      <c r="BG5" s="688"/>
      <c r="BH5" s="688"/>
      <c r="BI5" s="688"/>
      <c r="BJ5" s="688"/>
      <c r="BK5" s="688"/>
      <c r="BL5" s="688"/>
      <c r="BM5" s="688"/>
      <c r="BN5" s="688"/>
      <c r="BO5" s="688"/>
      <c r="BP5" s="688"/>
      <c r="BQ5" s="688"/>
      <c r="BR5" s="688"/>
      <c r="BS5" s="688"/>
      <c r="BT5" s="688"/>
      <c r="BU5" s="688"/>
      <c r="BV5" s="688"/>
      <c r="BW5" s="688"/>
      <c r="BX5" s="688"/>
      <c r="BY5" s="688"/>
      <c r="BZ5" s="688"/>
      <c r="CA5" s="688"/>
      <c r="CB5" s="688"/>
      <c r="CC5" s="688"/>
      <c r="CD5" s="688"/>
      <c r="CE5" s="688"/>
      <c r="CF5" s="688"/>
      <c r="CG5" s="688"/>
      <c r="CH5" s="688"/>
      <c r="CI5" s="688"/>
      <c r="CJ5" s="688"/>
      <c r="CK5" s="688"/>
      <c r="CL5" s="688"/>
      <c r="CM5" s="688"/>
      <c r="CN5" s="688"/>
      <c r="CO5" s="688"/>
      <c r="CP5" s="688"/>
      <c r="CQ5" s="688"/>
      <c r="CR5" s="688"/>
      <c r="CS5" s="688"/>
      <c r="CT5" s="688"/>
      <c r="CU5" s="688"/>
      <c r="CV5" s="688"/>
      <c r="CW5" s="688"/>
      <c r="CX5" s="688"/>
      <c r="CY5" s="688"/>
      <c r="CZ5" s="688"/>
      <c r="DA5" s="688"/>
      <c r="DB5" s="688"/>
      <c r="DC5" s="688"/>
      <c r="DD5" s="688"/>
      <c r="DE5" s="688"/>
      <c r="DF5" s="688"/>
      <c r="DG5" s="688"/>
      <c r="DH5" s="688"/>
      <c r="DI5" s="688"/>
      <c r="DJ5" s="688"/>
      <c r="DK5" s="688"/>
      <c r="DL5" s="688"/>
      <c r="DM5" s="688"/>
      <c r="DN5" s="688"/>
      <c r="DO5" s="688"/>
      <c r="DP5" s="688"/>
      <c r="DQ5" s="688"/>
      <c r="DR5" s="688"/>
      <c r="DS5" s="688"/>
      <c r="DT5" s="688"/>
      <c r="DU5" s="688"/>
    </row>
    <row r="6" spans="1:125" ht="23.25" customHeight="1" x14ac:dyDescent="0.45">
      <c r="A6" s="689" t="s">
        <v>25</v>
      </c>
      <c r="B6" s="474">
        <f>'2015-2016'!AC6</f>
        <v>4121794.95</v>
      </c>
      <c r="C6" s="475"/>
      <c r="D6" s="474">
        <v>3555381.86</v>
      </c>
      <c r="E6" s="474">
        <v>3218138.31</v>
      </c>
      <c r="F6" s="474">
        <f>566413.09+3218138.31</f>
        <v>3784551.4</v>
      </c>
      <c r="G6" s="474">
        <v>1878251.72</v>
      </c>
      <c r="H6" s="474"/>
      <c r="I6" s="474">
        <v>2653445.94</v>
      </c>
      <c r="J6" s="474">
        <v>2653445.94</v>
      </c>
      <c r="K6" s="474">
        <v>1744322.06</v>
      </c>
      <c r="L6" s="474">
        <v>1878251.72</v>
      </c>
      <c r="M6" s="474">
        <v>4642300.24</v>
      </c>
      <c r="N6" s="474">
        <v>1744322.06</v>
      </c>
      <c r="O6" s="476">
        <v>1659540.55</v>
      </c>
      <c r="P6" s="477"/>
      <c r="Q6" s="477">
        <v>1753648.65</v>
      </c>
      <c r="R6" s="477">
        <v>4642300.2300000004</v>
      </c>
      <c r="S6" s="477">
        <v>1842206.37</v>
      </c>
      <c r="T6" s="477">
        <f>3413189.2+1842206.37</f>
        <v>5255395.57</v>
      </c>
      <c r="U6" s="477">
        <v>1640877.03</v>
      </c>
      <c r="V6" s="477"/>
      <c r="W6" s="477">
        <v>-1461936</v>
      </c>
      <c r="X6" s="477">
        <v>1640877.03</v>
      </c>
      <c r="Y6" s="477">
        <v>2149801.34</v>
      </c>
      <c r="Z6" s="531">
        <v>2539910.08</v>
      </c>
      <c r="AA6" s="477">
        <v>1852044.74</v>
      </c>
      <c r="AB6" s="477">
        <v>1100093.28</v>
      </c>
      <c r="AC6" s="476">
        <f t="shared" ref="AC6:AC37" si="0">B6-C6-D6+E6-F6+G6-H6+I6-J6+K6-L6+M6-N6+O6-P6+Q6-R6+S6-T6+U6-V6+W6-X6+Y6-Z6+AA6+AB6</f>
        <v>1100093.2899999986</v>
      </c>
      <c r="AD6" s="520">
        <v>1100093.27</v>
      </c>
      <c r="AE6" s="476">
        <f t="shared" ref="AE6:AE37" si="1">B6</f>
        <v>4121794.95</v>
      </c>
      <c r="AF6" s="476">
        <f t="shared" ref="AF6:AF37" si="2">E6+G6+I6+K6+M6+O6+Q6+S6+U6+W6+Y6+AA6+AB6</f>
        <v>24672734.230000004</v>
      </c>
      <c r="AG6" s="476">
        <f t="shared" ref="AG6:AG37" si="3">D6+F6+H6+J6+L6+N6+P6+R6+T6+V6+X6+Z6</f>
        <v>27694435.890000001</v>
      </c>
      <c r="AH6" s="476">
        <f>AE6+AF6-AG6</f>
        <v>1100093.2900000028</v>
      </c>
      <c r="AI6" s="479" t="s">
        <v>391</v>
      </c>
      <c r="AJ6" s="458"/>
      <c r="AK6" s="688"/>
      <c r="AL6" s="688"/>
      <c r="AM6" s="688"/>
      <c r="AN6" s="688"/>
      <c r="AO6" s="688"/>
      <c r="AP6" s="688"/>
      <c r="AQ6" s="688"/>
      <c r="AR6" s="688"/>
      <c r="AS6" s="688"/>
      <c r="AT6" s="688"/>
      <c r="AU6" s="688"/>
      <c r="AV6" s="688"/>
      <c r="AW6" s="688"/>
      <c r="AX6" s="688"/>
      <c r="AY6" s="688"/>
      <c r="AZ6" s="688"/>
      <c r="BA6" s="688"/>
      <c r="BB6" s="688"/>
      <c r="BC6" s="688"/>
      <c r="BD6" s="688"/>
      <c r="BE6" s="688"/>
      <c r="BF6" s="688"/>
      <c r="BG6" s="688"/>
      <c r="BH6" s="688"/>
      <c r="BI6" s="688"/>
      <c r="BJ6" s="688"/>
      <c r="BK6" s="688"/>
      <c r="BL6" s="688"/>
      <c r="BM6" s="688"/>
      <c r="BN6" s="688"/>
      <c r="BO6" s="688"/>
      <c r="BP6" s="688"/>
      <c r="BQ6" s="688"/>
      <c r="BR6" s="688"/>
      <c r="BS6" s="688"/>
      <c r="BT6" s="688"/>
      <c r="BU6" s="688"/>
      <c r="BV6" s="688"/>
      <c r="BW6" s="688"/>
      <c r="BX6" s="688"/>
      <c r="BY6" s="688"/>
      <c r="BZ6" s="688"/>
      <c r="CA6" s="688"/>
      <c r="CB6" s="688"/>
      <c r="CC6" s="688"/>
      <c r="CD6" s="688"/>
      <c r="CE6" s="688"/>
      <c r="CF6" s="688"/>
      <c r="CG6" s="688"/>
      <c r="CH6" s="688"/>
      <c r="CI6" s="688"/>
      <c r="CJ6" s="688"/>
      <c r="CK6" s="688"/>
      <c r="CL6" s="688"/>
      <c r="CM6" s="688"/>
      <c r="CN6" s="688"/>
      <c r="CO6" s="688"/>
      <c r="CP6" s="688"/>
      <c r="CQ6" s="688"/>
      <c r="CR6" s="688"/>
      <c r="CS6" s="688"/>
      <c r="CT6" s="688"/>
      <c r="CU6" s="688"/>
      <c r="CV6" s="688"/>
      <c r="CW6" s="688"/>
      <c r="CX6" s="688"/>
      <c r="CY6" s="688"/>
      <c r="CZ6" s="688"/>
      <c r="DA6" s="688"/>
      <c r="DB6" s="688"/>
      <c r="DC6" s="688"/>
      <c r="DD6" s="688"/>
      <c r="DE6" s="688"/>
      <c r="DF6" s="688"/>
      <c r="DG6" s="688"/>
      <c r="DH6" s="688"/>
      <c r="DI6" s="688"/>
      <c r="DJ6" s="688"/>
      <c r="DK6" s="688"/>
      <c r="DL6" s="688"/>
      <c r="DM6" s="688"/>
      <c r="DN6" s="688"/>
      <c r="DO6" s="688"/>
      <c r="DP6" s="688"/>
      <c r="DQ6" s="688"/>
      <c r="DR6" s="688"/>
      <c r="DS6" s="688"/>
      <c r="DT6" s="688"/>
      <c r="DU6" s="688"/>
    </row>
    <row r="7" spans="1:125" ht="23.25" customHeight="1" x14ac:dyDescent="0.45">
      <c r="A7" s="689" t="s">
        <v>24</v>
      </c>
      <c r="B7" s="474">
        <f>'2015-2016'!AC7</f>
        <v>63042958.239999987</v>
      </c>
      <c r="C7" s="475"/>
      <c r="D7" s="474">
        <f>92594.75+2861.06+1198838.55+479339.62+635292.81+448748.51+557043.15+932110.02-402.32</f>
        <v>4346426.1499999994</v>
      </c>
      <c r="E7" s="474">
        <v>4383978.5599999996</v>
      </c>
      <c r="F7" s="474">
        <f>92594.75+198290.53+45417.19+385097.68+523586.99+105815.22</f>
        <v>1350802.36</v>
      </c>
      <c r="G7" s="474">
        <v>4978215.74</v>
      </c>
      <c r="H7" s="474">
        <f>1247961.15+1199175.72+432209.47+436087.61+145365.33+160511.3+91577.37+200272.94+860281.93+38209.64</f>
        <v>4811652.459999999</v>
      </c>
      <c r="I7" s="474">
        <v>4375547.0199999996</v>
      </c>
      <c r="J7" s="474">
        <f>46532.45+878968.1+237270.22+216498.64+245090.87+1185795.13+95999.78+37780.03+192511.85+506929.12+145368.07</f>
        <v>3788744.26</v>
      </c>
      <c r="K7" s="474">
        <v>4196768.29</v>
      </c>
      <c r="L7" s="474">
        <f>297524.22+643839.29+626994.65+340307.06+301881.24+38769.08+159359.83+806337.78+490260.56+400465.48+820664.47+628606.63</f>
        <v>5555010.29</v>
      </c>
      <c r="M7" s="474">
        <v>8258393.8499999996</v>
      </c>
      <c r="N7" s="474">
        <f>1208680.71+61580.69+764342.13+1684618.85</f>
        <v>3719222.38</v>
      </c>
      <c r="O7" s="476">
        <v>4556381.26</v>
      </c>
      <c r="P7" s="477">
        <f>892249.18+369871.8+1200006.53+99363.19+1172140.26+3058.38+198988.33+721492.49+193281.91+1215287.69+120725.14</f>
        <v>6186464.8999999994</v>
      </c>
      <c r="Q7" s="477">
        <v>4703806.32</v>
      </c>
      <c r="R7" s="477">
        <f>428489.06+302776.98+87884.72+1197994.9+168927.86+188534.86+52399.75+362411.09+88814.45</f>
        <v>2878233.67</v>
      </c>
      <c r="S7" s="477">
        <v>5020941.53</v>
      </c>
      <c r="T7" s="477">
        <f>52238.52+352725.49+342546.2+1210484.58+1582178.49+2060946.62+471422.43</f>
        <v>6072542.3300000001</v>
      </c>
      <c r="U7" s="477">
        <v>4188777.21</v>
      </c>
      <c r="V7" s="477">
        <f>38758.3+585174.33+540828.89+1173842.76+283621.48+178235.15</f>
        <v>2800460.91</v>
      </c>
      <c r="W7" s="477">
        <v>-307638.96999999997</v>
      </c>
      <c r="X7" s="477">
        <f>616262.61+598191.97+57847.08+751791.68+817513.73+115545.54+34859.42+564748.61+55531.62+565548.4</f>
        <v>4177840.66</v>
      </c>
      <c r="Y7" s="477">
        <v>4223249.2300000004</v>
      </c>
      <c r="Z7" s="531">
        <v>50072373.919999994</v>
      </c>
      <c r="AA7" s="477">
        <v>3092344.69</v>
      </c>
      <c r="AB7" s="477">
        <v>1009207.57</v>
      </c>
      <c r="AC7" s="476">
        <f t="shared" si="0"/>
        <v>19963156.250000004</v>
      </c>
      <c r="AD7" s="520"/>
      <c r="AE7" s="476">
        <f t="shared" si="1"/>
        <v>63042958.239999987</v>
      </c>
      <c r="AF7" s="476">
        <f t="shared" si="2"/>
        <v>52679972.300000004</v>
      </c>
      <c r="AG7" s="476">
        <f t="shared" si="3"/>
        <v>95759774.289999992</v>
      </c>
      <c r="AH7" s="476">
        <f t="shared" ref="AH7:AH70" si="4">AE7+AF7-AG7</f>
        <v>19963156.25</v>
      </c>
      <c r="AI7" s="478" t="s">
        <v>392</v>
      </c>
      <c r="AJ7" s="688"/>
      <c r="AK7" s="688"/>
      <c r="AL7" s="688"/>
      <c r="AM7" s="688"/>
      <c r="AN7" s="688"/>
      <c r="AO7" s="688"/>
      <c r="AP7" s="688"/>
      <c r="AQ7" s="688"/>
      <c r="AR7" s="688"/>
      <c r="AS7" s="688"/>
      <c r="AT7" s="688"/>
      <c r="AU7" s="688"/>
      <c r="AV7" s="688"/>
      <c r="AW7" s="688"/>
      <c r="AX7" s="688"/>
      <c r="AY7" s="688"/>
      <c r="AZ7" s="688"/>
      <c r="BA7" s="688"/>
      <c r="BB7" s="688"/>
      <c r="BC7" s="688"/>
      <c r="BD7" s="688"/>
      <c r="BE7" s="688"/>
      <c r="BF7" s="688"/>
      <c r="BG7" s="688"/>
      <c r="BH7" s="688"/>
      <c r="BI7" s="688"/>
      <c r="BJ7" s="688"/>
      <c r="BK7" s="688"/>
      <c r="BL7" s="688"/>
      <c r="BM7" s="688"/>
      <c r="BN7" s="688"/>
      <c r="BO7" s="688"/>
      <c r="BP7" s="688"/>
      <c r="BQ7" s="688"/>
      <c r="BR7" s="688"/>
      <c r="BS7" s="688"/>
      <c r="BT7" s="688"/>
      <c r="BU7" s="688"/>
      <c r="BV7" s="688"/>
      <c r="BW7" s="688"/>
      <c r="BX7" s="688"/>
      <c r="BY7" s="688"/>
      <c r="BZ7" s="688"/>
      <c r="CA7" s="688"/>
      <c r="CB7" s="688"/>
      <c r="CC7" s="688"/>
      <c r="CD7" s="688"/>
      <c r="CE7" s="688"/>
      <c r="CF7" s="688"/>
      <c r="CG7" s="688"/>
      <c r="CH7" s="688"/>
      <c r="CI7" s="688"/>
      <c r="CJ7" s="688"/>
      <c r="CK7" s="688"/>
      <c r="CL7" s="688"/>
      <c r="CM7" s="688"/>
      <c r="CN7" s="688"/>
      <c r="CO7" s="688"/>
      <c r="CP7" s="688"/>
      <c r="CQ7" s="688"/>
      <c r="CR7" s="688"/>
      <c r="CS7" s="688"/>
      <c r="CT7" s="688"/>
      <c r="CU7" s="688"/>
      <c r="CV7" s="688"/>
      <c r="CW7" s="688"/>
      <c r="CX7" s="688"/>
      <c r="CY7" s="688"/>
      <c r="CZ7" s="688"/>
      <c r="DA7" s="688"/>
      <c r="DB7" s="688"/>
      <c r="DC7" s="688"/>
      <c r="DD7" s="688"/>
      <c r="DE7" s="688"/>
      <c r="DF7" s="688"/>
      <c r="DG7" s="688"/>
      <c r="DH7" s="688"/>
      <c r="DI7" s="688"/>
      <c r="DJ7" s="688"/>
      <c r="DK7" s="688"/>
      <c r="DL7" s="688"/>
      <c r="DM7" s="688"/>
      <c r="DN7" s="688"/>
      <c r="DO7" s="688"/>
      <c r="DP7" s="688"/>
      <c r="DQ7" s="688"/>
      <c r="DR7" s="688"/>
      <c r="DS7" s="688"/>
      <c r="DT7" s="688"/>
      <c r="DU7" s="688"/>
    </row>
    <row r="8" spans="1:125" s="480" customFormat="1" ht="23.25" customHeight="1" x14ac:dyDescent="0.45">
      <c r="A8" s="689" t="s">
        <v>361</v>
      </c>
      <c r="B8" s="474">
        <f>'2015-2016'!AC8</f>
        <v>54278028.87999998</v>
      </c>
      <c r="C8" s="475"/>
      <c r="D8" s="474">
        <f>14269834.37+7291388.35</f>
        <v>21561222.719999999</v>
      </c>
      <c r="E8" s="474">
        <v>10402509.23</v>
      </c>
      <c r="F8" s="474">
        <f>4974531.43+7279117.55</f>
        <v>12253648.98</v>
      </c>
      <c r="G8" s="474">
        <v>11232525.1</v>
      </c>
      <c r="H8" s="474">
        <f>6925061.18</f>
        <v>6925061.1799999997</v>
      </c>
      <c r="I8" s="474">
        <v>11005796</v>
      </c>
      <c r="J8" s="474">
        <f>6763884.59+288951.07+4147897.47+11025436.59</f>
        <v>22226169.719999999</v>
      </c>
      <c r="K8" s="474">
        <v>11361837.48</v>
      </c>
      <c r="L8" s="474">
        <f>786256.52</f>
        <v>786256.52</v>
      </c>
      <c r="M8" s="474">
        <v>7210139.9299999997</v>
      </c>
      <c r="N8" s="474">
        <v>641136.39</v>
      </c>
      <c r="O8" s="476">
        <v>11422793.029999999</v>
      </c>
      <c r="P8" s="477"/>
      <c r="Q8" s="477">
        <v>11308153.640000001</v>
      </c>
      <c r="R8" s="477"/>
      <c r="S8" s="477">
        <v>12039488.24</v>
      </c>
      <c r="T8" s="477"/>
      <c r="U8" s="477">
        <v>11249864.15</v>
      </c>
      <c r="V8" s="477"/>
      <c r="W8" s="477">
        <v>10656763.029999999</v>
      </c>
      <c r="X8" s="477"/>
      <c r="Y8" s="477">
        <v>11862130.119999999</v>
      </c>
      <c r="Z8" s="477"/>
      <c r="AA8" s="477">
        <v>8775816.4299999997</v>
      </c>
      <c r="AB8" s="477">
        <v>2913252.13</v>
      </c>
      <c r="AC8" s="476">
        <f t="shared" si="0"/>
        <v>121325601.88</v>
      </c>
      <c r="AD8" s="520"/>
      <c r="AE8" s="476">
        <f t="shared" si="1"/>
        <v>54278028.87999998</v>
      </c>
      <c r="AF8" s="476">
        <f t="shared" si="2"/>
        <v>131441068.50999999</v>
      </c>
      <c r="AG8" s="476">
        <f t="shared" si="3"/>
        <v>64393495.510000005</v>
      </c>
      <c r="AH8" s="476">
        <f t="shared" si="4"/>
        <v>121325601.87999998</v>
      </c>
      <c r="AI8" s="479" t="s">
        <v>393</v>
      </c>
      <c r="AJ8" s="688"/>
      <c r="AK8" s="688"/>
      <c r="AL8" s="688"/>
      <c r="AM8" s="688"/>
      <c r="AN8" s="688"/>
      <c r="AO8" s="688"/>
      <c r="AP8" s="688"/>
      <c r="AQ8" s="688"/>
      <c r="AR8" s="688"/>
      <c r="AS8" s="688"/>
      <c r="AT8" s="688"/>
      <c r="AU8" s="688"/>
      <c r="AV8" s="688"/>
      <c r="AW8" s="688"/>
      <c r="AX8" s="688"/>
      <c r="AY8" s="688"/>
      <c r="AZ8" s="688"/>
      <c r="BA8" s="688"/>
      <c r="BB8" s="688"/>
      <c r="BC8" s="688"/>
      <c r="BD8" s="688"/>
      <c r="BE8" s="688"/>
      <c r="BF8" s="688"/>
      <c r="BG8" s="688"/>
      <c r="BH8" s="688"/>
      <c r="BI8" s="688"/>
      <c r="BJ8" s="688"/>
      <c r="BK8" s="688"/>
      <c r="BL8" s="688"/>
      <c r="BM8" s="688"/>
      <c r="BN8" s="688"/>
      <c r="BO8" s="688"/>
      <c r="BP8" s="688"/>
      <c r="BQ8" s="688"/>
      <c r="BR8" s="688"/>
      <c r="BS8" s="688"/>
      <c r="BT8" s="688"/>
      <c r="BU8" s="688"/>
      <c r="BV8" s="688"/>
      <c r="BW8" s="688"/>
      <c r="BX8" s="688"/>
      <c r="BY8" s="688"/>
      <c r="BZ8" s="688"/>
      <c r="CA8" s="688"/>
      <c r="CB8" s="688"/>
      <c r="CC8" s="688"/>
      <c r="CD8" s="688"/>
      <c r="CE8" s="688"/>
      <c r="CF8" s="688"/>
      <c r="CG8" s="688"/>
      <c r="CH8" s="688"/>
      <c r="CI8" s="688"/>
      <c r="CJ8" s="688"/>
      <c r="CK8" s="688"/>
      <c r="CL8" s="688"/>
      <c r="CM8" s="688"/>
      <c r="CN8" s="688"/>
      <c r="CO8" s="688"/>
      <c r="CP8" s="688"/>
      <c r="CQ8" s="688"/>
      <c r="CR8" s="688"/>
      <c r="CS8" s="688"/>
      <c r="CT8" s="688"/>
      <c r="CU8" s="688"/>
      <c r="CV8" s="688"/>
      <c r="CW8" s="688"/>
      <c r="CX8" s="688"/>
      <c r="CY8" s="688"/>
      <c r="CZ8" s="688"/>
      <c r="DA8" s="688"/>
      <c r="DB8" s="688"/>
      <c r="DC8" s="688"/>
      <c r="DD8" s="688"/>
      <c r="DE8" s="688"/>
      <c r="DF8" s="688"/>
      <c r="DG8" s="688"/>
      <c r="DH8" s="688"/>
      <c r="DI8" s="688"/>
      <c r="DJ8" s="688"/>
      <c r="DK8" s="688"/>
      <c r="DL8" s="688"/>
      <c r="DM8" s="688"/>
      <c r="DN8" s="688"/>
      <c r="DO8" s="688"/>
      <c r="DP8" s="688"/>
      <c r="DQ8" s="688"/>
      <c r="DR8" s="688"/>
      <c r="DS8" s="688"/>
      <c r="DT8" s="688"/>
      <c r="DU8" s="688"/>
    </row>
    <row r="9" spans="1:125" ht="23.25" customHeight="1" x14ac:dyDescent="0.45">
      <c r="A9" s="689" t="s">
        <v>43</v>
      </c>
      <c r="B9" s="474">
        <f>'2015-2016'!AC9</f>
        <v>9197336.6099999975</v>
      </c>
      <c r="C9" s="475"/>
      <c r="D9" s="474"/>
      <c r="E9" s="474">
        <v>0</v>
      </c>
      <c r="F9" s="474"/>
      <c r="G9" s="474">
        <v>0</v>
      </c>
      <c r="H9" s="474"/>
      <c r="I9" s="474">
        <v>0</v>
      </c>
      <c r="J9" s="474"/>
      <c r="K9" s="474">
        <v>0</v>
      </c>
      <c r="L9" s="474"/>
      <c r="M9" s="474">
        <v>-12718.03</v>
      </c>
      <c r="N9" s="474"/>
      <c r="O9" s="476">
        <v>0</v>
      </c>
      <c r="P9" s="477"/>
      <c r="Q9" s="477">
        <v>0</v>
      </c>
      <c r="R9" s="477"/>
      <c r="S9" s="477">
        <v>0</v>
      </c>
      <c r="T9" s="477"/>
      <c r="U9" s="477">
        <v>0</v>
      </c>
      <c r="V9" s="477"/>
      <c r="W9" s="477">
        <v>-8986159.4199999999</v>
      </c>
      <c r="X9" s="477"/>
      <c r="Y9" s="477">
        <v>0</v>
      </c>
      <c r="Z9" s="477"/>
      <c r="AA9" s="477"/>
      <c r="AB9" s="477"/>
      <c r="AC9" s="476">
        <f t="shared" si="0"/>
        <v>198459.15999999829</v>
      </c>
      <c r="AD9" s="520"/>
      <c r="AE9" s="476">
        <f t="shared" si="1"/>
        <v>9197336.6099999975</v>
      </c>
      <c r="AF9" s="476">
        <f t="shared" si="2"/>
        <v>-8998877.4499999993</v>
      </c>
      <c r="AG9" s="476">
        <f t="shared" si="3"/>
        <v>0</v>
      </c>
      <c r="AH9" s="476">
        <f t="shared" si="4"/>
        <v>198459.15999999829</v>
      </c>
      <c r="AI9" s="479" t="s">
        <v>394</v>
      </c>
      <c r="AJ9" s="688"/>
      <c r="AK9" s="688"/>
      <c r="AL9" s="688"/>
      <c r="AM9" s="688"/>
      <c r="AN9" s="688"/>
      <c r="AO9" s="688"/>
      <c r="AP9" s="688"/>
      <c r="AQ9" s="688"/>
      <c r="AR9" s="688"/>
      <c r="AS9" s="688"/>
      <c r="AT9" s="688"/>
      <c r="AU9" s="688"/>
      <c r="AV9" s="688"/>
      <c r="AW9" s="688"/>
      <c r="AX9" s="688"/>
      <c r="AY9" s="688"/>
      <c r="AZ9" s="688"/>
      <c r="BA9" s="688"/>
      <c r="BB9" s="688"/>
      <c r="BC9" s="688"/>
      <c r="BD9" s="688"/>
      <c r="BE9" s="688"/>
      <c r="BF9" s="688"/>
      <c r="BG9" s="688"/>
      <c r="BH9" s="688"/>
      <c r="BI9" s="688"/>
      <c r="BJ9" s="688"/>
      <c r="BK9" s="688"/>
      <c r="BL9" s="688"/>
      <c r="BM9" s="688"/>
      <c r="BN9" s="688"/>
      <c r="BO9" s="688"/>
      <c r="BP9" s="688"/>
      <c r="BQ9" s="688"/>
      <c r="BR9" s="688"/>
      <c r="BS9" s="688"/>
      <c r="BT9" s="688"/>
      <c r="BU9" s="688"/>
      <c r="BV9" s="688"/>
      <c r="BW9" s="688"/>
      <c r="BX9" s="688"/>
      <c r="BY9" s="688"/>
      <c r="BZ9" s="688"/>
      <c r="CA9" s="688"/>
      <c r="CB9" s="688"/>
      <c r="CC9" s="688"/>
      <c r="CD9" s="688"/>
      <c r="CE9" s="688"/>
      <c r="CF9" s="688"/>
      <c r="CG9" s="688"/>
      <c r="CH9" s="688"/>
      <c r="CI9" s="688"/>
      <c r="CJ9" s="688"/>
      <c r="CK9" s="688"/>
      <c r="CL9" s="688"/>
      <c r="CM9" s="688"/>
      <c r="CN9" s="688"/>
      <c r="CO9" s="688"/>
      <c r="CP9" s="688"/>
      <c r="CQ9" s="688"/>
      <c r="CR9" s="688"/>
      <c r="CS9" s="688"/>
      <c r="CT9" s="688"/>
      <c r="CU9" s="688"/>
      <c r="CV9" s="688"/>
      <c r="CW9" s="688"/>
      <c r="CX9" s="688"/>
      <c r="CY9" s="688"/>
      <c r="CZ9" s="688"/>
      <c r="DA9" s="688"/>
      <c r="DB9" s="688"/>
      <c r="DC9" s="688"/>
      <c r="DD9" s="688"/>
      <c r="DE9" s="688"/>
      <c r="DF9" s="688"/>
      <c r="DG9" s="688"/>
      <c r="DH9" s="688"/>
      <c r="DI9" s="688"/>
      <c r="DJ9" s="688"/>
      <c r="DK9" s="688"/>
      <c r="DL9" s="688"/>
      <c r="DM9" s="688"/>
      <c r="DN9" s="688"/>
      <c r="DO9" s="688"/>
      <c r="DP9" s="688"/>
      <c r="DQ9" s="688"/>
      <c r="DR9" s="688"/>
      <c r="DS9" s="688"/>
      <c r="DT9" s="688"/>
      <c r="DU9" s="688"/>
    </row>
    <row r="10" spans="1:125" ht="23.25" customHeight="1" x14ac:dyDescent="0.45">
      <c r="A10" s="689" t="s">
        <v>362</v>
      </c>
      <c r="B10" s="474">
        <f>'2015-2016'!AC10</f>
        <v>4385951.1900000013</v>
      </c>
      <c r="C10" s="475"/>
      <c r="D10" s="474"/>
      <c r="E10" s="474">
        <v>2482658.12</v>
      </c>
      <c r="F10" s="474">
        <v>2975164.66</v>
      </c>
      <c r="G10" s="474">
        <v>1052954.22</v>
      </c>
      <c r="H10" s="474">
        <v>2482658.12</v>
      </c>
      <c r="I10" s="474">
        <v>1116511</v>
      </c>
      <c r="J10" s="474">
        <v>1052954.22</v>
      </c>
      <c r="K10" s="474">
        <v>1124633.8600000001</v>
      </c>
      <c r="L10" s="474">
        <f>1116511+1124633.86</f>
        <v>2241144.8600000003</v>
      </c>
      <c r="M10" s="474">
        <v>2114076.7799999998</v>
      </c>
      <c r="N10" s="474"/>
      <c r="O10" s="476">
        <v>1117788.6599999999</v>
      </c>
      <c r="P10" s="477">
        <f>705098.18</f>
        <v>705098.18</v>
      </c>
      <c r="Q10" s="477">
        <v>2898764.07</v>
      </c>
      <c r="R10" s="477"/>
      <c r="S10" s="477">
        <v>1427052</v>
      </c>
      <c r="T10" s="477">
        <v>3231865.45</v>
      </c>
      <c r="U10" s="477">
        <v>1095366.7</v>
      </c>
      <c r="V10" s="477"/>
      <c r="W10" s="477">
        <v>-117783.92</v>
      </c>
      <c r="X10" s="477"/>
      <c r="Y10" s="477">
        <v>1523633.28</v>
      </c>
      <c r="Z10" s="477">
        <f>4325816.07+1095366.7+1523633.28</f>
        <v>6944816.0500000007</v>
      </c>
      <c r="AA10" s="477">
        <v>637700.74</v>
      </c>
      <c r="AB10" s="477">
        <v>601498.06999999995</v>
      </c>
      <c r="AC10" s="476">
        <f t="shared" si="0"/>
        <v>1827103.23</v>
      </c>
      <c r="AD10" s="520"/>
      <c r="AE10" s="476">
        <f t="shared" si="1"/>
        <v>4385951.1900000013</v>
      </c>
      <c r="AF10" s="476">
        <f t="shared" si="2"/>
        <v>17074853.579999998</v>
      </c>
      <c r="AG10" s="476">
        <f t="shared" si="3"/>
        <v>19633701.539999999</v>
      </c>
      <c r="AH10" s="476">
        <f t="shared" si="4"/>
        <v>1827103.2300000004</v>
      </c>
      <c r="AI10" s="478" t="s">
        <v>395</v>
      </c>
      <c r="AJ10" s="688"/>
      <c r="AK10" s="688"/>
      <c r="AL10" s="688"/>
      <c r="AM10" s="688"/>
      <c r="AN10" s="688"/>
      <c r="AO10" s="688"/>
      <c r="AP10" s="688"/>
      <c r="AQ10" s="688"/>
      <c r="AR10" s="688"/>
      <c r="AS10" s="688"/>
      <c r="AT10" s="688"/>
      <c r="AU10" s="688"/>
      <c r="AV10" s="688"/>
      <c r="AW10" s="688"/>
      <c r="AX10" s="688"/>
      <c r="AY10" s="688"/>
      <c r="AZ10" s="688"/>
      <c r="BA10" s="688"/>
      <c r="BB10" s="688"/>
      <c r="BC10" s="688"/>
      <c r="BD10" s="688"/>
      <c r="BE10" s="688"/>
      <c r="BF10" s="688"/>
      <c r="BG10" s="688"/>
      <c r="BH10" s="688"/>
      <c r="BI10" s="688"/>
      <c r="BJ10" s="688"/>
      <c r="BK10" s="688"/>
      <c r="BL10" s="688"/>
      <c r="BM10" s="688"/>
      <c r="BN10" s="688"/>
      <c r="BO10" s="688"/>
      <c r="BP10" s="688"/>
      <c r="BQ10" s="688"/>
      <c r="BR10" s="688"/>
      <c r="BS10" s="688"/>
      <c r="BT10" s="688"/>
      <c r="BU10" s="688"/>
      <c r="BV10" s="688"/>
      <c r="BW10" s="688"/>
      <c r="BX10" s="688"/>
      <c r="BY10" s="688"/>
      <c r="BZ10" s="688"/>
      <c r="CA10" s="688"/>
      <c r="CB10" s="688"/>
      <c r="CC10" s="688"/>
      <c r="CD10" s="688"/>
      <c r="CE10" s="688"/>
      <c r="CF10" s="688"/>
      <c r="CG10" s="688"/>
      <c r="CH10" s="688"/>
      <c r="CI10" s="688"/>
      <c r="CJ10" s="688"/>
      <c r="CK10" s="688"/>
      <c r="CL10" s="688"/>
      <c r="CM10" s="688"/>
      <c r="CN10" s="688"/>
      <c r="CO10" s="688"/>
      <c r="CP10" s="688"/>
      <c r="CQ10" s="688"/>
      <c r="CR10" s="688"/>
      <c r="CS10" s="688"/>
      <c r="CT10" s="688"/>
      <c r="CU10" s="688"/>
      <c r="CV10" s="688"/>
      <c r="CW10" s="688"/>
      <c r="CX10" s="688"/>
      <c r="CY10" s="688"/>
      <c r="CZ10" s="688"/>
      <c r="DA10" s="688"/>
      <c r="DB10" s="688"/>
      <c r="DC10" s="688"/>
      <c r="DD10" s="688"/>
      <c r="DE10" s="688"/>
      <c r="DF10" s="688"/>
      <c r="DG10" s="688"/>
      <c r="DH10" s="688"/>
      <c r="DI10" s="688"/>
      <c r="DJ10" s="688"/>
      <c r="DK10" s="688"/>
      <c r="DL10" s="688"/>
      <c r="DM10" s="688"/>
      <c r="DN10" s="688"/>
      <c r="DO10" s="688"/>
      <c r="DP10" s="688"/>
      <c r="DQ10" s="688"/>
      <c r="DR10" s="688"/>
      <c r="DS10" s="688"/>
      <c r="DT10" s="688"/>
      <c r="DU10" s="688"/>
    </row>
    <row r="11" spans="1:125" ht="23.25" customHeight="1" x14ac:dyDescent="0.45">
      <c r="A11" s="689" t="s">
        <v>31</v>
      </c>
      <c r="B11" s="474">
        <v>2320300.94</v>
      </c>
      <c r="C11" s="475"/>
      <c r="D11" s="474">
        <f>3201442.92+954132.44+62877.4</f>
        <v>4218452.76</v>
      </c>
      <c r="E11" s="474">
        <v>4142807.53</v>
      </c>
      <c r="F11" s="474">
        <f>249913.48</f>
        <v>249913.48</v>
      </c>
      <c r="G11" s="474">
        <v>4437741.6100000003</v>
      </c>
      <c r="H11" s="474">
        <f>3817763.06+3329217.54+986193.71</f>
        <v>8133174.3099999996</v>
      </c>
      <c r="I11" s="474">
        <v>4336908.16</v>
      </c>
      <c r="J11" s="474"/>
      <c r="K11" s="474">
        <v>4348019.68</v>
      </c>
      <c r="L11" s="474">
        <f>4169534.9+42781.93+4222834.71</f>
        <v>8435151.5399999991</v>
      </c>
      <c r="M11" s="474">
        <v>4132504.28</v>
      </c>
      <c r="N11" s="474">
        <f>296561.17+46306.97</f>
        <v>342868.14</v>
      </c>
      <c r="O11" s="476">
        <v>4298959.5599999996</v>
      </c>
      <c r="P11" s="477">
        <f>2967536.79+1108062.9+4232040.87</f>
        <v>8307640.5600000005</v>
      </c>
      <c r="Q11" s="477">
        <v>4256350.71</v>
      </c>
      <c r="R11" s="477">
        <f>56327.78+4116239.46+104232.55</f>
        <v>4276799.79</v>
      </c>
      <c r="S11" s="477">
        <v>4370001.26</v>
      </c>
      <c r="T11" s="477">
        <f>4330379.18</f>
        <v>4330379.18</v>
      </c>
      <c r="U11" s="477">
        <v>4000670.42</v>
      </c>
      <c r="V11" s="477">
        <v>3903790.42</v>
      </c>
      <c r="W11" s="477">
        <v>3014634.16</v>
      </c>
      <c r="X11" s="477">
        <f>2929262.6+50287.64</f>
        <v>2979550.24</v>
      </c>
      <c r="Y11" s="477">
        <v>4262671.0199999996</v>
      </c>
      <c r="Z11" s="528">
        <v>7175645.2699999996</v>
      </c>
      <c r="AA11" s="477">
        <v>2961738.71</v>
      </c>
      <c r="AB11" s="477">
        <v>1393687.43</v>
      </c>
      <c r="AC11" s="476">
        <f t="shared" si="0"/>
        <v>-76370.220000000438</v>
      </c>
      <c r="AD11" s="520"/>
      <c r="AE11" s="476">
        <f t="shared" si="1"/>
        <v>2320300.94</v>
      </c>
      <c r="AF11" s="476">
        <f t="shared" si="2"/>
        <v>49956694.530000001</v>
      </c>
      <c r="AG11" s="476">
        <f t="shared" si="3"/>
        <v>52353365.689999998</v>
      </c>
      <c r="AH11" s="476">
        <f t="shared" si="4"/>
        <v>-76370.219999998808</v>
      </c>
      <c r="AI11" s="479" t="s">
        <v>391</v>
      </c>
      <c r="AJ11" s="688"/>
      <c r="AK11" s="688"/>
      <c r="AL11" s="688"/>
      <c r="AM11" s="688"/>
      <c r="AN11" s="688"/>
      <c r="AO11" s="688"/>
      <c r="AP11" s="688"/>
      <c r="AQ11" s="688"/>
      <c r="AR11" s="688"/>
      <c r="AS11" s="688"/>
      <c r="AT11" s="688"/>
      <c r="AU11" s="688"/>
      <c r="AV11" s="688"/>
      <c r="AW11" s="688"/>
      <c r="AX11" s="688"/>
      <c r="AY11" s="688"/>
      <c r="AZ11" s="688"/>
      <c r="BA11" s="688"/>
      <c r="BB11" s="688"/>
      <c r="BC11" s="688"/>
      <c r="BD11" s="688"/>
      <c r="BE11" s="688"/>
      <c r="BF11" s="688"/>
      <c r="BG11" s="688"/>
      <c r="BH11" s="688"/>
      <c r="BI11" s="688"/>
      <c r="BJ11" s="688"/>
      <c r="BK11" s="688"/>
      <c r="BL11" s="688"/>
      <c r="BM11" s="688"/>
      <c r="BN11" s="688"/>
      <c r="BO11" s="688"/>
      <c r="BP11" s="688"/>
      <c r="BQ11" s="688"/>
      <c r="BR11" s="688"/>
      <c r="BS11" s="688"/>
      <c r="BT11" s="688"/>
      <c r="BU11" s="688"/>
      <c r="BV11" s="688"/>
      <c r="BW11" s="688"/>
      <c r="BX11" s="688"/>
      <c r="BY11" s="688"/>
      <c r="BZ11" s="688"/>
      <c r="CA11" s="688"/>
      <c r="CB11" s="688"/>
      <c r="CC11" s="688"/>
      <c r="CD11" s="688"/>
      <c r="CE11" s="688"/>
      <c r="CF11" s="688"/>
      <c r="CG11" s="688"/>
      <c r="CH11" s="688"/>
      <c r="CI11" s="688"/>
      <c r="CJ11" s="688"/>
      <c r="CK11" s="688"/>
      <c r="CL11" s="688"/>
      <c r="CM11" s="688"/>
      <c r="CN11" s="688"/>
      <c r="CO11" s="688"/>
      <c r="CP11" s="688"/>
      <c r="CQ11" s="688"/>
      <c r="CR11" s="688"/>
      <c r="CS11" s="688"/>
      <c r="CT11" s="688"/>
      <c r="CU11" s="688"/>
      <c r="CV11" s="688"/>
      <c r="CW11" s="688"/>
      <c r="CX11" s="688"/>
      <c r="CY11" s="688"/>
      <c r="CZ11" s="688"/>
      <c r="DA11" s="688"/>
      <c r="DB11" s="688"/>
      <c r="DC11" s="688"/>
      <c r="DD11" s="688"/>
      <c r="DE11" s="688"/>
      <c r="DF11" s="688"/>
      <c r="DG11" s="688"/>
      <c r="DH11" s="688"/>
      <c r="DI11" s="688"/>
      <c r="DJ11" s="688"/>
      <c r="DK11" s="688"/>
      <c r="DL11" s="688"/>
      <c r="DM11" s="688"/>
      <c r="DN11" s="688"/>
      <c r="DO11" s="688"/>
      <c r="DP11" s="688"/>
      <c r="DQ11" s="688"/>
      <c r="DR11" s="688"/>
      <c r="DS11" s="688"/>
      <c r="DT11" s="688"/>
      <c r="DU11" s="688"/>
    </row>
    <row r="12" spans="1:125" ht="23.25" customHeight="1" x14ac:dyDescent="0.45">
      <c r="A12" s="689" t="s">
        <v>189</v>
      </c>
      <c r="B12" s="474">
        <v>7989598.4199999999</v>
      </c>
      <c r="C12" s="475"/>
      <c r="D12" s="474"/>
      <c r="E12" s="474">
        <v>5528</v>
      </c>
      <c r="F12" s="474"/>
      <c r="G12" s="474">
        <v>0</v>
      </c>
      <c r="H12" s="474"/>
      <c r="I12" s="474">
        <v>0</v>
      </c>
      <c r="J12" s="474"/>
      <c r="K12" s="474">
        <v>0</v>
      </c>
      <c r="L12" s="474"/>
      <c r="M12" s="474">
        <v>-44414.01</v>
      </c>
      <c r="N12" s="474"/>
      <c r="O12" s="476">
        <v>0</v>
      </c>
      <c r="P12" s="477"/>
      <c r="Q12" s="477">
        <v>0</v>
      </c>
      <c r="R12" s="477"/>
      <c r="S12" s="477">
        <v>0</v>
      </c>
      <c r="T12" s="477"/>
      <c r="U12" s="477">
        <v>0</v>
      </c>
      <c r="V12" s="477"/>
      <c r="W12" s="477">
        <v>-7953061.3099999996</v>
      </c>
      <c r="X12" s="477"/>
      <c r="Y12" s="477">
        <v>0</v>
      </c>
      <c r="Z12" s="477"/>
      <c r="AA12" s="477"/>
      <c r="AB12" s="477"/>
      <c r="AC12" s="476">
        <f t="shared" si="0"/>
        <v>-2348.8999999994412</v>
      </c>
      <c r="AD12" s="520"/>
      <c r="AE12" s="476">
        <f t="shared" si="1"/>
        <v>7989598.4199999999</v>
      </c>
      <c r="AF12" s="476">
        <f t="shared" si="2"/>
        <v>-7991947.3199999994</v>
      </c>
      <c r="AG12" s="476">
        <f t="shared" si="3"/>
        <v>0</v>
      </c>
      <c r="AH12" s="476">
        <f t="shared" si="4"/>
        <v>-2348.8999999994412</v>
      </c>
      <c r="AI12" s="479" t="s">
        <v>396</v>
      </c>
      <c r="AJ12" s="688"/>
      <c r="AK12" s="688"/>
      <c r="AL12" s="688"/>
      <c r="AM12" s="688"/>
      <c r="AN12" s="688"/>
      <c r="AO12" s="688"/>
      <c r="AP12" s="688"/>
      <c r="AQ12" s="688"/>
      <c r="AR12" s="688"/>
      <c r="AS12" s="688"/>
      <c r="AT12" s="688"/>
      <c r="AU12" s="688"/>
      <c r="AV12" s="688"/>
      <c r="AW12" s="688"/>
      <c r="AX12" s="688"/>
      <c r="AY12" s="688"/>
      <c r="AZ12" s="688"/>
      <c r="BA12" s="688"/>
      <c r="BB12" s="688"/>
      <c r="BC12" s="688"/>
      <c r="BD12" s="688"/>
      <c r="BE12" s="688"/>
      <c r="BF12" s="688"/>
      <c r="BG12" s="688"/>
      <c r="BH12" s="688"/>
      <c r="BI12" s="688"/>
      <c r="BJ12" s="688"/>
      <c r="BK12" s="688"/>
      <c r="BL12" s="688"/>
      <c r="BM12" s="688"/>
      <c r="BN12" s="688"/>
      <c r="BO12" s="688"/>
      <c r="BP12" s="688"/>
      <c r="BQ12" s="688"/>
      <c r="BR12" s="688"/>
      <c r="BS12" s="688"/>
      <c r="BT12" s="688"/>
      <c r="BU12" s="688"/>
      <c r="BV12" s="688"/>
      <c r="BW12" s="688"/>
      <c r="BX12" s="688"/>
      <c r="BY12" s="688"/>
      <c r="BZ12" s="688"/>
      <c r="CA12" s="688"/>
      <c r="CB12" s="688"/>
      <c r="CC12" s="688"/>
      <c r="CD12" s="688"/>
      <c r="CE12" s="688"/>
      <c r="CF12" s="688"/>
      <c r="CG12" s="688"/>
      <c r="CH12" s="688"/>
      <c r="CI12" s="688"/>
      <c r="CJ12" s="688"/>
      <c r="CK12" s="688"/>
      <c r="CL12" s="688"/>
      <c r="CM12" s="688"/>
      <c r="CN12" s="688"/>
      <c r="CO12" s="688"/>
      <c r="CP12" s="688"/>
      <c r="CQ12" s="688"/>
      <c r="CR12" s="688"/>
      <c r="CS12" s="688"/>
      <c r="CT12" s="688"/>
      <c r="CU12" s="688"/>
      <c r="CV12" s="688"/>
      <c r="CW12" s="688"/>
      <c r="CX12" s="688"/>
      <c r="CY12" s="688"/>
      <c r="CZ12" s="688"/>
      <c r="DA12" s="688"/>
      <c r="DB12" s="688"/>
      <c r="DC12" s="688"/>
      <c r="DD12" s="688"/>
      <c r="DE12" s="688"/>
      <c r="DF12" s="688"/>
      <c r="DG12" s="688"/>
      <c r="DH12" s="688"/>
      <c r="DI12" s="688"/>
      <c r="DJ12" s="688"/>
      <c r="DK12" s="688"/>
      <c r="DL12" s="688"/>
      <c r="DM12" s="688"/>
      <c r="DN12" s="688"/>
      <c r="DO12" s="688"/>
      <c r="DP12" s="688"/>
      <c r="DQ12" s="688"/>
      <c r="DR12" s="688"/>
      <c r="DS12" s="688"/>
      <c r="DT12" s="688"/>
      <c r="DU12" s="688"/>
    </row>
    <row r="13" spans="1:125" s="480" customFormat="1" ht="23.25" customHeight="1" x14ac:dyDescent="0.45">
      <c r="A13" s="689" t="s">
        <v>363</v>
      </c>
      <c r="B13" s="474">
        <f>'2015-2016'!AC13</f>
        <v>4889516.1199999964</v>
      </c>
      <c r="C13" s="475"/>
      <c r="D13" s="474">
        <v>4327397.6500000004</v>
      </c>
      <c r="E13" s="474">
        <v>4970257.71</v>
      </c>
      <c r="F13" s="474"/>
      <c r="G13" s="474">
        <v>4606714.62</v>
      </c>
      <c r="H13" s="474">
        <f>4970257.71</f>
        <v>4970257.71</v>
      </c>
      <c r="I13" s="474">
        <v>4614460.97</v>
      </c>
      <c r="J13" s="474">
        <v>9221175.5899999999</v>
      </c>
      <c r="K13" s="474">
        <v>4689055.93</v>
      </c>
      <c r="L13" s="474">
        <v>4683301.37</v>
      </c>
      <c r="M13" s="474">
        <v>4493947.51</v>
      </c>
      <c r="N13" s="474"/>
      <c r="O13" s="476">
        <v>5178235.92</v>
      </c>
      <c r="P13" s="477"/>
      <c r="Q13" s="477">
        <v>5108759.42</v>
      </c>
      <c r="R13" s="477">
        <v>5178235.92</v>
      </c>
      <c r="S13" s="477">
        <v>4686959.5599999996</v>
      </c>
      <c r="T13" s="477">
        <v>9666190.4499999993</v>
      </c>
      <c r="U13" s="477">
        <v>4774797.74</v>
      </c>
      <c r="V13" s="477">
        <f>4636249.68</f>
        <v>4636249.68</v>
      </c>
      <c r="W13" s="477">
        <v>4604035.7</v>
      </c>
      <c r="X13" s="477">
        <v>4721681.26</v>
      </c>
      <c r="Y13" s="477">
        <v>5473047.8399999999</v>
      </c>
      <c r="Z13" s="477">
        <f>4549811.91+5473047.84</f>
        <v>10022859.75</v>
      </c>
      <c r="AA13" s="477">
        <v>4913160.82</v>
      </c>
      <c r="AB13" s="477">
        <v>762540.14</v>
      </c>
      <c r="AC13" s="476">
        <f t="shared" si="0"/>
        <v>6338140.6199999982</v>
      </c>
      <c r="AD13" s="520"/>
      <c r="AE13" s="476">
        <f t="shared" si="1"/>
        <v>4889516.1199999964</v>
      </c>
      <c r="AF13" s="476">
        <f t="shared" si="2"/>
        <v>58875973.880000018</v>
      </c>
      <c r="AG13" s="476">
        <f t="shared" si="3"/>
        <v>57427349.379999995</v>
      </c>
      <c r="AH13" s="476">
        <f t="shared" si="4"/>
        <v>6338140.6200000197</v>
      </c>
      <c r="AI13" s="479" t="s">
        <v>397</v>
      </c>
      <c r="AJ13" s="688"/>
      <c r="AK13" s="688"/>
      <c r="AL13" s="688"/>
      <c r="AM13" s="688"/>
      <c r="AN13" s="688"/>
      <c r="AO13" s="688"/>
      <c r="AP13" s="688"/>
      <c r="AQ13" s="688"/>
      <c r="AR13" s="688"/>
      <c r="AS13" s="688"/>
      <c r="AT13" s="688"/>
      <c r="AU13" s="688"/>
      <c r="AV13" s="688"/>
      <c r="AW13" s="688"/>
      <c r="AX13" s="688"/>
      <c r="AY13" s="688"/>
      <c r="AZ13" s="688"/>
      <c r="BA13" s="688"/>
      <c r="BB13" s="688"/>
      <c r="BC13" s="688"/>
      <c r="BD13" s="688"/>
      <c r="BE13" s="688"/>
      <c r="BF13" s="688"/>
      <c r="BG13" s="688"/>
      <c r="BH13" s="688"/>
      <c r="BI13" s="688"/>
      <c r="BJ13" s="688"/>
      <c r="BK13" s="688"/>
      <c r="BL13" s="688"/>
      <c r="BM13" s="688"/>
      <c r="BN13" s="688"/>
      <c r="BO13" s="688"/>
      <c r="BP13" s="688"/>
      <c r="BQ13" s="688"/>
      <c r="BR13" s="688"/>
      <c r="BS13" s="688"/>
      <c r="BT13" s="688"/>
      <c r="BU13" s="688"/>
      <c r="BV13" s="688"/>
      <c r="BW13" s="688"/>
      <c r="BX13" s="688"/>
      <c r="BY13" s="688"/>
      <c r="BZ13" s="688"/>
      <c r="CA13" s="688"/>
      <c r="CB13" s="688"/>
      <c r="CC13" s="688"/>
      <c r="CD13" s="688"/>
      <c r="CE13" s="688"/>
      <c r="CF13" s="688"/>
      <c r="CG13" s="688"/>
      <c r="CH13" s="688"/>
      <c r="CI13" s="688"/>
      <c r="CJ13" s="688"/>
      <c r="CK13" s="688"/>
      <c r="CL13" s="688"/>
      <c r="CM13" s="688"/>
      <c r="CN13" s="688"/>
      <c r="CO13" s="688"/>
      <c r="CP13" s="688"/>
      <c r="CQ13" s="688"/>
      <c r="CR13" s="688"/>
      <c r="CS13" s="688"/>
      <c r="CT13" s="688"/>
      <c r="CU13" s="688"/>
      <c r="CV13" s="688"/>
      <c r="CW13" s="688"/>
      <c r="CX13" s="688"/>
      <c r="CY13" s="688"/>
      <c r="CZ13" s="688"/>
      <c r="DA13" s="688"/>
      <c r="DB13" s="688"/>
      <c r="DC13" s="688"/>
      <c r="DD13" s="688"/>
      <c r="DE13" s="688"/>
      <c r="DF13" s="688"/>
      <c r="DG13" s="688"/>
      <c r="DH13" s="688"/>
      <c r="DI13" s="688"/>
      <c r="DJ13" s="688"/>
      <c r="DK13" s="688"/>
      <c r="DL13" s="688"/>
      <c r="DM13" s="688"/>
      <c r="DN13" s="688"/>
      <c r="DO13" s="688"/>
      <c r="DP13" s="688"/>
      <c r="DQ13" s="688"/>
      <c r="DR13" s="688"/>
      <c r="DS13" s="688"/>
      <c r="DT13" s="688"/>
      <c r="DU13" s="688"/>
    </row>
    <row r="14" spans="1:125" ht="23.25" customHeight="1" x14ac:dyDescent="0.45">
      <c r="A14" s="689" t="s">
        <v>364</v>
      </c>
      <c r="B14" s="474">
        <f>'2015-2016'!AC14</f>
        <v>3916271.59</v>
      </c>
      <c r="C14" s="475"/>
      <c r="D14" s="474">
        <v>1942701</v>
      </c>
      <c r="E14" s="474">
        <v>2581620.88</v>
      </c>
      <c r="F14" s="474"/>
      <c r="G14" s="474">
        <v>2587931.65</v>
      </c>
      <c r="H14" s="474"/>
      <c r="I14" s="474">
        <v>2472786.79</v>
      </c>
      <c r="J14" s="474">
        <v>5169552.53</v>
      </c>
      <c r="K14" s="474">
        <v>2535700.35</v>
      </c>
      <c r="L14" s="474">
        <f>2472786.79+2535700.35</f>
        <v>5008487.1400000006</v>
      </c>
      <c r="M14" s="474">
        <v>1837631.1</v>
      </c>
      <c r="N14" s="474"/>
      <c r="O14" s="476">
        <v>2520399.61</v>
      </c>
      <c r="P14" s="477">
        <v>1837631.1</v>
      </c>
      <c r="Q14" s="477">
        <v>2784901.05</v>
      </c>
      <c r="R14" s="477">
        <f>2520399.61+2784901.05</f>
        <v>5305300.66</v>
      </c>
      <c r="S14" s="477">
        <v>2676644.92</v>
      </c>
      <c r="T14" s="477"/>
      <c r="U14" s="477">
        <v>2458933.4</v>
      </c>
      <c r="V14" s="477"/>
      <c r="W14" s="477">
        <v>2063190.57</v>
      </c>
      <c r="X14" s="477"/>
      <c r="Y14" s="477">
        <v>2630795.5699999998</v>
      </c>
      <c r="Z14" s="530">
        <v>7198768.8899999997</v>
      </c>
      <c r="AA14" s="477">
        <v>2008969.08</v>
      </c>
      <c r="AB14" s="477">
        <v>401238.13</v>
      </c>
      <c r="AC14" s="476">
        <f t="shared" si="0"/>
        <v>7014573.3699999992</v>
      </c>
      <c r="AD14" s="520"/>
      <c r="AE14" s="476">
        <f t="shared" si="1"/>
        <v>3916271.59</v>
      </c>
      <c r="AF14" s="476">
        <f t="shared" si="2"/>
        <v>29560743.099999998</v>
      </c>
      <c r="AG14" s="476">
        <f t="shared" si="3"/>
        <v>26462441.32</v>
      </c>
      <c r="AH14" s="476">
        <f t="shared" si="4"/>
        <v>7014573.3699999973</v>
      </c>
      <c r="AI14" s="479" t="s">
        <v>398</v>
      </c>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8"/>
      <c r="BW14" s="688"/>
      <c r="BX14" s="688"/>
      <c r="BY14" s="688"/>
      <c r="BZ14" s="688"/>
      <c r="CA14" s="688"/>
      <c r="CB14" s="688"/>
      <c r="CC14" s="688"/>
      <c r="CD14" s="688"/>
      <c r="CE14" s="688"/>
      <c r="CF14" s="688"/>
      <c r="CG14" s="688"/>
      <c r="CH14" s="688"/>
      <c r="CI14" s="688"/>
      <c r="CJ14" s="688"/>
      <c r="CK14" s="688"/>
      <c r="CL14" s="688"/>
      <c r="CM14" s="688"/>
      <c r="CN14" s="688"/>
      <c r="CO14" s="688"/>
      <c r="CP14" s="688"/>
      <c r="CQ14" s="688"/>
      <c r="CR14" s="688"/>
      <c r="CS14" s="688"/>
      <c r="CT14" s="688"/>
      <c r="CU14" s="688"/>
      <c r="CV14" s="688"/>
      <c r="CW14" s="688"/>
      <c r="CX14" s="688"/>
      <c r="CY14" s="688"/>
      <c r="CZ14" s="688"/>
      <c r="DA14" s="688"/>
      <c r="DB14" s="688"/>
      <c r="DC14" s="688"/>
      <c r="DD14" s="688"/>
      <c r="DE14" s="688"/>
      <c r="DF14" s="688"/>
      <c r="DG14" s="688"/>
      <c r="DH14" s="688"/>
      <c r="DI14" s="688"/>
      <c r="DJ14" s="688"/>
      <c r="DK14" s="688"/>
      <c r="DL14" s="688"/>
      <c r="DM14" s="688"/>
      <c r="DN14" s="688"/>
      <c r="DO14" s="688"/>
      <c r="DP14" s="688"/>
      <c r="DQ14" s="688"/>
      <c r="DR14" s="688"/>
      <c r="DS14" s="688"/>
      <c r="DT14" s="688"/>
      <c r="DU14" s="688"/>
    </row>
    <row r="15" spans="1:125" ht="23.25" customHeight="1" x14ac:dyDescent="0.45">
      <c r="A15" s="689" t="s">
        <v>86</v>
      </c>
      <c r="B15" s="474">
        <v>1111518.05</v>
      </c>
      <c r="C15" s="475"/>
      <c r="D15" s="474"/>
      <c r="E15" s="474">
        <v>0</v>
      </c>
      <c r="F15" s="474"/>
      <c r="G15" s="474">
        <v>33002</v>
      </c>
      <c r="H15" s="474"/>
      <c r="I15" s="474">
        <v>16501</v>
      </c>
      <c r="J15" s="474"/>
      <c r="K15" s="474">
        <v>16501</v>
      </c>
      <c r="L15" s="474"/>
      <c r="M15" s="474">
        <v>880788</v>
      </c>
      <c r="N15" s="474"/>
      <c r="O15" s="476">
        <v>16501</v>
      </c>
      <c r="P15" s="477"/>
      <c r="Q15" s="477">
        <v>16501</v>
      </c>
      <c r="R15" s="477"/>
      <c r="S15" s="477">
        <v>16501</v>
      </c>
      <c r="T15" s="477"/>
      <c r="U15" s="477">
        <v>16501</v>
      </c>
      <c r="V15" s="477"/>
      <c r="W15" s="477">
        <v>-2102987.42</v>
      </c>
      <c r="X15" s="477"/>
      <c r="Y15" s="477">
        <v>16501</v>
      </c>
      <c r="Z15" s="477"/>
      <c r="AA15" s="477">
        <v>16501</v>
      </c>
      <c r="AB15" s="477"/>
      <c r="AC15" s="476">
        <f t="shared" si="0"/>
        <v>54328.629999999888</v>
      </c>
      <c r="AD15" s="520"/>
      <c r="AE15" s="476">
        <f t="shared" si="1"/>
        <v>1111518.05</v>
      </c>
      <c r="AF15" s="476">
        <f t="shared" si="2"/>
        <v>-1057189.42</v>
      </c>
      <c r="AG15" s="476">
        <f t="shared" si="3"/>
        <v>0</v>
      </c>
      <c r="AH15" s="476">
        <f t="shared" si="4"/>
        <v>54328.630000000121</v>
      </c>
      <c r="AI15" s="479" t="s">
        <v>399</v>
      </c>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8"/>
      <c r="BW15" s="688"/>
      <c r="BX15" s="688"/>
      <c r="BY15" s="688"/>
      <c r="BZ15" s="688"/>
      <c r="CA15" s="688"/>
      <c r="CB15" s="688"/>
      <c r="CC15" s="688"/>
      <c r="CD15" s="688"/>
      <c r="CE15" s="688"/>
      <c r="CF15" s="688"/>
      <c r="CG15" s="688"/>
      <c r="CH15" s="688"/>
      <c r="CI15" s="688"/>
      <c r="CJ15" s="688"/>
      <c r="CK15" s="688"/>
      <c r="CL15" s="688"/>
      <c r="CM15" s="688"/>
      <c r="CN15" s="688"/>
      <c r="CO15" s="688"/>
      <c r="CP15" s="688"/>
      <c r="CQ15" s="688"/>
      <c r="CR15" s="688"/>
      <c r="CS15" s="688"/>
      <c r="CT15" s="688"/>
      <c r="CU15" s="688"/>
      <c r="CV15" s="688"/>
      <c r="CW15" s="688"/>
      <c r="CX15" s="688"/>
      <c r="CY15" s="688"/>
      <c r="CZ15" s="688"/>
      <c r="DA15" s="688"/>
      <c r="DB15" s="688"/>
      <c r="DC15" s="688"/>
      <c r="DD15" s="688"/>
      <c r="DE15" s="688"/>
      <c r="DF15" s="688"/>
      <c r="DG15" s="688"/>
      <c r="DH15" s="688"/>
      <c r="DI15" s="688"/>
      <c r="DJ15" s="688"/>
      <c r="DK15" s="688"/>
      <c r="DL15" s="688"/>
      <c r="DM15" s="688"/>
      <c r="DN15" s="688"/>
      <c r="DO15" s="688"/>
      <c r="DP15" s="688"/>
      <c r="DQ15" s="688"/>
      <c r="DR15" s="688"/>
      <c r="DS15" s="688"/>
      <c r="DT15" s="688"/>
      <c r="DU15" s="688"/>
    </row>
    <row r="16" spans="1:125" ht="23.25" customHeight="1" x14ac:dyDescent="0.45">
      <c r="A16" s="689" t="s">
        <v>334</v>
      </c>
      <c r="B16" s="474">
        <f>'2015-2016'!AC16</f>
        <v>4007906.9899999984</v>
      </c>
      <c r="C16" s="475"/>
      <c r="D16" s="474"/>
      <c r="E16" s="474">
        <v>0</v>
      </c>
      <c r="F16" s="474"/>
      <c r="G16" s="474">
        <v>17498</v>
      </c>
      <c r="H16" s="474"/>
      <c r="I16" s="474">
        <v>8749</v>
      </c>
      <c r="J16" s="474"/>
      <c r="K16" s="474">
        <v>8749</v>
      </c>
      <c r="L16" s="474"/>
      <c r="M16" s="474">
        <v>690239</v>
      </c>
      <c r="N16" s="474"/>
      <c r="O16" s="476">
        <v>8749</v>
      </c>
      <c r="P16" s="477"/>
      <c r="Q16" s="477">
        <v>8749</v>
      </c>
      <c r="R16" s="477"/>
      <c r="S16" s="477">
        <v>8749</v>
      </c>
      <c r="T16" s="477"/>
      <c r="U16" s="477">
        <v>8749</v>
      </c>
      <c r="V16" s="477"/>
      <c r="W16" s="477">
        <v>-4757312</v>
      </c>
      <c r="X16" s="477"/>
      <c r="Y16" s="477">
        <v>8749</v>
      </c>
      <c r="Z16" s="477"/>
      <c r="AA16" s="477">
        <v>8749</v>
      </c>
      <c r="AB16" s="477"/>
      <c r="AC16" s="476">
        <f t="shared" si="0"/>
        <v>28323.989999998361</v>
      </c>
      <c r="AD16" s="520"/>
      <c r="AE16" s="476">
        <f t="shared" si="1"/>
        <v>4007906.9899999984</v>
      </c>
      <c r="AF16" s="476">
        <f t="shared" si="2"/>
        <v>-3979583</v>
      </c>
      <c r="AG16" s="476">
        <f t="shared" si="3"/>
        <v>0</v>
      </c>
      <c r="AH16" s="476">
        <f t="shared" si="4"/>
        <v>28323.989999998361</v>
      </c>
      <c r="AI16" s="479" t="s">
        <v>400</v>
      </c>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8"/>
      <c r="BW16" s="688"/>
      <c r="BX16" s="688"/>
      <c r="BY16" s="688"/>
      <c r="BZ16" s="688"/>
      <c r="CA16" s="688"/>
      <c r="CB16" s="688"/>
      <c r="CC16" s="688"/>
      <c r="CD16" s="688"/>
      <c r="CE16" s="688"/>
      <c r="CF16" s="688"/>
      <c r="CG16" s="688"/>
      <c r="CH16" s="688"/>
      <c r="CI16" s="688"/>
      <c r="CJ16" s="688"/>
      <c r="CK16" s="688"/>
      <c r="CL16" s="688"/>
      <c r="CM16" s="688"/>
      <c r="CN16" s="688"/>
      <c r="CO16" s="688"/>
      <c r="CP16" s="688"/>
      <c r="CQ16" s="688"/>
      <c r="CR16" s="688"/>
      <c r="CS16" s="688"/>
      <c r="CT16" s="688"/>
      <c r="CU16" s="688"/>
      <c r="CV16" s="688"/>
      <c r="CW16" s="688"/>
      <c r="CX16" s="688"/>
      <c r="CY16" s="688"/>
      <c r="CZ16" s="688"/>
      <c r="DA16" s="688"/>
      <c r="DB16" s="688"/>
      <c r="DC16" s="688"/>
      <c r="DD16" s="688"/>
      <c r="DE16" s="688"/>
      <c r="DF16" s="688"/>
      <c r="DG16" s="688"/>
      <c r="DH16" s="688"/>
      <c r="DI16" s="688"/>
      <c r="DJ16" s="688"/>
      <c r="DK16" s="688"/>
      <c r="DL16" s="688"/>
      <c r="DM16" s="688"/>
      <c r="DN16" s="688"/>
      <c r="DO16" s="688"/>
      <c r="DP16" s="688"/>
      <c r="DQ16" s="688"/>
      <c r="DR16" s="688"/>
      <c r="DS16" s="688"/>
      <c r="DT16" s="688"/>
      <c r="DU16" s="688"/>
    </row>
    <row r="17" spans="1:36" ht="42.75" customHeight="1" x14ac:dyDescent="0.45">
      <c r="A17" s="689" t="s">
        <v>41</v>
      </c>
      <c r="B17" s="474">
        <f>'2015-2016'!AC17</f>
        <v>4152680.01</v>
      </c>
      <c r="C17" s="475"/>
      <c r="D17" s="474">
        <v>99.5</v>
      </c>
      <c r="E17" s="474">
        <v>1216936.48</v>
      </c>
      <c r="F17" s="474">
        <f>821.5+1168.8+255.8</f>
        <v>2246.1</v>
      </c>
      <c r="G17" s="474">
        <v>1405389.13</v>
      </c>
      <c r="H17" s="474">
        <f>643.4+37+2386817.79</f>
        <v>2387498.19</v>
      </c>
      <c r="I17" s="474">
        <v>1338797.82</v>
      </c>
      <c r="J17" s="474">
        <f>22429.64+1366716.18+225.5</f>
        <v>1389371.3199999998</v>
      </c>
      <c r="K17" s="474">
        <v>1193789.58</v>
      </c>
      <c r="L17" s="474">
        <f>1280571.85+754.5</f>
        <v>1281326.3500000001</v>
      </c>
      <c r="M17" s="474">
        <v>850256.15</v>
      </c>
      <c r="N17" s="474">
        <f>806321.82+333986.53</f>
        <v>1140308.3500000001</v>
      </c>
      <c r="O17" s="476">
        <v>1063784.26</v>
      </c>
      <c r="P17" s="477">
        <v>974.5</v>
      </c>
      <c r="Q17" s="477">
        <v>988746.9</v>
      </c>
      <c r="R17" s="477">
        <f>32+2621650.55</f>
        <v>2621682.5499999998</v>
      </c>
      <c r="S17" s="477">
        <v>1067430.24</v>
      </c>
      <c r="T17" s="477">
        <f>564.5</f>
        <v>564.5</v>
      </c>
      <c r="U17" s="477">
        <v>981211.87</v>
      </c>
      <c r="V17" s="477">
        <f>739470.87+313457.53+288</f>
        <v>1053216.3999999999</v>
      </c>
      <c r="W17" s="477">
        <v>973257.28</v>
      </c>
      <c r="X17" s="477">
        <f>675687.05+117.8+232716.69</f>
        <v>908521.54</v>
      </c>
      <c r="Y17" s="477">
        <v>1120465.6200000001</v>
      </c>
      <c r="Z17" s="528">
        <v>1830426.44</v>
      </c>
      <c r="AA17" s="477">
        <v>632455.73</v>
      </c>
      <c r="AB17" s="477">
        <v>434939.85</v>
      </c>
      <c r="AC17" s="476">
        <f t="shared" si="0"/>
        <v>4803905.1800000016</v>
      </c>
      <c r="AD17" s="520"/>
      <c r="AE17" s="476">
        <f t="shared" si="1"/>
        <v>4152680.01</v>
      </c>
      <c r="AF17" s="476">
        <f t="shared" si="2"/>
        <v>13267460.909999998</v>
      </c>
      <c r="AG17" s="476">
        <f t="shared" si="3"/>
        <v>12616235.74</v>
      </c>
      <c r="AH17" s="476">
        <f t="shared" si="4"/>
        <v>4803905.1799999978</v>
      </c>
      <c r="AI17" s="479" t="s">
        <v>401</v>
      </c>
      <c r="AJ17" s="688"/>
    </row>
    <row r="18" spans="1:36" ht="23.25" customHeight="1" x14ac:dyDescent="0.45">
      <c r="A18" s="689" t="s">
        <v>26</v>
      </c>
      <c r="B18" s="474">
        <f>'2015-2016'!AC18</f>
        <v>4912527.3800000073</v>
      </c>
      <c r="C18" s="475"/>
      <c r="D18" s="474">
        <v>4912527.38</v>
      </c>
      <c r="E18" s="474">
        <v>4436111.78</v>
      </c>
      <c r="F18" s="474"/>
      <c r="G18" s="474">
        <v>4618872.76</v>
      </c>
      <c r="H18" s="474">
        <v>4436111.78</v>
      </c>
      <c r="I18" s="474">
        <v>4705337.0999999996</v>
      </c>
      <c r="J18" s="474">
        <v>4618872.76</v>
      </c>
      <c r="K18" s="474">
        <v>5445399.9800000004</v>
      </c>
      <c r="L18" s="474">
        <v>4705337.0999999996</v>
      </c>
      <c r="M18" s="474">
        <v>5619382.6100000003</v>
      </c>
      <c r="N18" s="474">
        <v>5445399.9800000004</v>
      </c>
      <c r="O18" s="476">
        <v>4816700.6399999997</v>
      </c>
      <c r="P18" s="477"/>
      <c r="Q18" s="477">
        <v>4903139.8</v>
      </c>
      <c r="R18" s="477">
        <v>4816700.6399999997</v>
      </c>
      <c r="S18" s="477">
        <v>3823005.32</v>
      </c>
      <c r="T18" s="477">
        <v>4903139.8</v>
      </c>
      <c r="U18" s="477">
        <v>4519839.08</v>
      </c>
      <c r="V18" s="477"/>
      <c r="W18" s="477">
        <v>4939237.4800000004</v>
      </c>
      <c r="X18" s="477">
        <f>8342844.4+5619382.59+4939237.5</f>
        <v>18901464.490000002</v>
      </c>
      <c r="Y18" s="477">
        <v>5130765.78</v>
      </c>
      <c r="Z18" s="477">
        <v>5130765.78</v>
      </c>
      <c r="AA18" s="477">
        <v>3985702.89</v>
      </c>
      <c r="AB18" s="477">
        <v>1451598.35</v>
      </c>
      <c r="AC18" s="476">
        <f t="shared" si="0"/>
        <v>5437301.2400000077</v>
      </c>
      <c r="AD18" s="520"/>
      <c r="AE18" s="476">
        <f t="shared" si="1"/>
        <v>4912527.3800000073</v>
      </c>
      <c r="AF18" s="476">
        <f t="shared" si="2"/>
        <v>58395093.57</v>
      </c>
      <c r="AG18" s="476">
        <f t="shared" si="3"/>
        <v>57870319.710000001</v>
      </c>
      <c r="AH18" s="476">
        <f t="shared" si="4"/>
        <v>5437301.2400000095</v>
      </c>
      <c r="AI18" s="479" t="s">
        <v>402</v>
      </c>
      <c r="AJ18" s="688"/>
    </row>
    <row r="19" spans="1:36" ht="23.25" customHeight="1" x14ac:dyDescent="0.45">
      <c r="A19" s="689" t="s">
        <v>36</v>
      </c>
      <c r="B19" s="474">
        <f>'2015-2016'!AC19</f>
        <v>3872841.3099999987</v>
      </c>
      <c r="C19" s="475"/>
      <c r="D19" s="474">
        <f>446978.2+421727.31</f>
        <v>868705.51</v>
      </c>
      <c r="E19" s="474">
        <v>1157753.3999999999</v>
      </c>
      <c r="F19" s="474"/>
      <c r="G19" s="474">
        <v>1696366.57</v>
      </c>
      <c r="H19" s="474">
        <f>1157753.4+2027869.69</f>
        <v>3185623.09</v>
      </c>
      <c r="I19" s="474">
        <v>1428526.46</v>
      </c>
      <c r="J19" s="474">
        <f>1016170.02</f>
        <v>1016170.02</v>
      </c>
      <c r="K19" s="474">
        <v>1281308.27</v>
      </c>
      <c r="L19" s="474"/>
      <c r="M19" s="474">
        <v>2547316.5</v>
      </c>
      <c r="N19" s="474">
        <v>2709834.73</v>
      </c>
      <c r="O19" s="476">
        <v>1273779.2</v>
      </c>
      <c r="P19" s="477"/>
      <c r="Q19" s="477">
        <v>1157823.3899999999</v>
      </c>
      <c r="R19" s="477"/>
      <c r="S19" s="477">
        <v>1629985.43</v>
      </c>
      <c r="T19" s="477">
        <f>3821095.7+1838019.94</f>
        <v>5659115.6400000006</v>
      </c>
      <c r="U19" s="477">
        <v>1202657.8500000001</v>
      </c>
      <c r="V19" s="477">
        <f>1629985.43</f>
        <v>1629985.43</v>
      </c>
      <c r="W19" s="477">
        <v>871791.9</v>
      </c>
      <c r="X19" s="477">
        <v>2074449.75</v>
      </c>
      <c r="Y19" s="477">
        <v>1130160.6599999999</v>
      </c>
      <c r="Z19" s="528">
        <v>2000580.08</v>
      </c>
      <c r="AA19" s="477">
        <v>652166.25</v>
      </c>
      <c r="AB19" s="477">
        <v>708589.76</v>
      </c>
      <c r="AC19" s="476">
        <f t="shared" si="0"/>
        <v>1466602.6999999967</v>
      </c>
      <c r="AD19" s="520"/>
      <c r="AE19" s="476">
        <f t="shared" si="1"/>
        <v>3872841.3099999987</v>
      </c>
      <c r="AF19" s="476">
        <f t="shared" si="2"/>
        <v>16738225.639999999</v>
      </c>
      <c r="AG19" s="476">
        <f t="shared" si="3"/>
        <v>19144464.25</v>
      </c>
      <c r="AH19" s="476">
        <f t="shared" si="4"/>
        <v>1466602.6999999955</v>
      </c>
      <c r="AI19" s="479" t="s">
        <v>398</v>
      </c>
      <c r="AJ19" s="688"/>
    </row>
    <row r="20" spans="1:36" s="459" customFormat="1" ht="23.25" customHeight="1" x14ac:dyDescent="0.45">
      <c r="A20" s="689" t="s">
        <v>23</v>
      </c>
      <c r="B20" s="474">
        <v>4486817.1100000003</v>
      </c>
      <c r="C20" s="475"/>
      <c r="D20" s="474"/>
      <c r="E20" s="474">
        <v>3108102.08</v>
      </c>
      <c r="F20" s="474">
        <f>2343578.81+3056270.54</f>
        <v>5399849.3499999996</v>
      </c>
      <c r="G20" s="474">
        <v>2917456.13</v>
      </c>
      <c r="H20" s="474"/>
      <c r="I20" s="474">
        <v>3608014.76</v>
      </c>
      <c r="J20" s="474">
        <f>2876839.28</f>
        <v>2876839.28</v>
      </c>
      <c r="K20" s="474">
        <v>3854181.94</v>
      </c>
      <c r="L20" s="474">
        <v>3540446.15</v>
      </c>
      <c r="M20" s="474">
        <v>3145527.26</v>
      </c>
      <c r="N20" s="474">
        <v>3138893.03</v>
      </c>
      <c r="O20" s="476">
        <v>3332631.87</v>
      </c>
      <c r="P20" s="477"/>
      <c r="Q20" s="477">
        <v>3330816.43</v>
      </c>
      <c r="R20" s="477">
        <f>3094303.54</f>
        <v>3094303.54</v>
      </c>
      <c r="S20" s="477">
        <v>2422436.12</v>
      </c>
      <c r="T20" s="477">
        <v>6395116.71</v>
      </c>
      <c r="U20" s="477">
        <v>3366281.84</v>
      </c>
      <c r="V20" s="477">
        <v>2379246.27</v>
      </c>
      <c r="W20" s="477">
        <v>3004394.54</v>
      </c>
      <c r="X20" s="477">
        <f>3267191.78</f>
        <v>3267191.78</v>
      </c>
      <c r="Y20" s="477">
        <v>3459324.65</v>
      </c>
      <c r="Z20" s="528">
        <v>6333891.6400000006</v>
      </c>
      <c r="AA20" s="477">
        <v>2505655.61</v>
      </c>
      <c r="AB20" s="477">
        <v>892690.47</v>
      </c>
      <c r="AC20" s="476">
        <f t="shared" si="0"/>
        <v>7008553.0599999996</v>
      </c>
      <c r="AD20" s="520"/>
      <c r="AE20" s="476">
        <f t="shared" si="1"/>
        <v>4486817.1100000003</v>
      </c>
      <c r="AF20" s="476">
        <f t="shared" si="2"/>
        <v>38947513.699999996</v>
      </c>
      <c r="AG20" s="476">
        <f t="shared" si="3"/>
        <v>36425777.75</v>
      </c>
      <c r="AH20" s="476">
        <f t="shared" si="4"/>
        <v>7008553.0599999949</v>
      </c>
      <c r="AI20" s="479" t="s">
        <v>403</v>
      </c>
      <c r="AJ20" s="688"/>
    </row>
    <row r="21" spans="1:36" s="459" customFormat="1" ht="23.25" customHeight="1" x14ac:dyDescent="0.45">
      <c r="A21" s="689" t="s">
        <v>21</v>
      </c>
      <c r="B21" s="474">
        <f>10629595.95+3251055.06</f>
        <v>13880651.01</v>
      </c>
      <c r="C21" s="475"/>
      <c r="D21" s="474">
        <f>4722625.61</f>
        <v>4722625.6100000003</v>
      </c>
      <c r="E21" s="474">
        <v>3106547.37</v>
      </c>
      <c r="F21" s="474"/>
      <c r="G21" s="474">
        <v>2971311.26</v>
      </c>
      <c r="H21" s="474"/>
      <c r="I21" s="474">
        <v>2797514.2</v>
      </c>
      <c r="J21" s="474">
        <f>2957661.49+5836316.76</f>
        <v>8793978.25</v>
      </c>
      <c r="K21" s="474">
        <v>2470604.1800000002</v>
      </c>
      <c r="L21" s="474">
        <v>3106547.37</v>
      </c>
      <c r="M21" s="474">
        <v>2865010.84</v>
      </c>
      <c r="N21" s="474">
        <f>2624446.29</f>
        <v>2624446.29</v>
      </c>
      <c r="O21" s="476">
        <v>2722677.84</v>
      </c>
      <c r="P21" s="477">
        <f>2316668.05</f>
        <v>2316668.0499999998</v>
      </c>
      <c r="Q21" s="477">
        <v>3251249.65</v>
      </c>
      <c r="R21" s="477">
        <v>0</v>
      </c>
      <c r="S21" s="477">
        <v>2724628.94</v>
      </c>
      <c r="T21" s="477">
        <v>3249623.33</v>
      </c>
      <c r="U21" s="477">
        <v>2740882.53</v>
      </c>
      <c r="V21" s="477">
        <v>2716035.25</v>
      </c>
      <c r="W21" s="477">
        <v>1078299.43</v>
      </c>
      <c r="X21" s="477"/>
      <c r="Y21" s="477">
        <v>2795937.48</v>
      </c>
      <c r="Z21" s="477"/>
      <c r="AA21" s="477">
        <v>1736245.83</v>
      </c>
      <c r="AB21" s="477">
        <v>1047610.39</v>
      </c>
      <c r="AC21" s="476">
        <f t="shared" si="0"/>
        <v>18659246.799999997</v>
      </c>
      <c r="AD21" s="520"/>
      <c r="AE21" s="476">
        <f t="shared" si="1"/>
        <v>13880651.01</v>
      </c>
      <c r="AF21" s="476">
        <f t="shared" si="2"/>
        <v>32308519.939999998</v>
      </c>
      <c r="AG21" s="476">
        <f t="shared" si="3"/>
        <v>27529924.149999999</v>
      </c>
      <c r="AH21" s="476">
        <f t="shared" si="4"/>
        <v>18659246.799999997</v>
      </c>
      <c r="AI21" s="479" t="s">
        <v>398</v>
      </c>
      <c r="AJ21" s="688"/>
    </row>
    <row r="22" spans="1:36" s="459" customFormat="1" ht="23.25" customHeight="1" x14ac:dyDescent="0.45">
      <c r="A22" s="689" t="s">
        <v>185</v>
      </c>
      <c r="B22" s="474">
        <v>1943891.76</v>
      </c>
      <c r="C22" s="475"/>
      <c r="D22" s="474"/>
      <c r="E22" s="474">
        <v>463321.77</v>
      </c>
      <c r="F22" s="474">
        <v>694386.42</v>
      </c>
      <c r="G22" s="474">
        <v>977955.32</v>
      </c>
      <c r="H22" s="474">
        <f>700801.7</f>
        <v>700801.7</v>
      </c>
      <c r="I22" s="474">
        <v>720735.29</v>
      </c>
      <c r="J22" s="474">
        <v>977955.32</v>
      </c>
      <c r="K22" s="474">
        <v>719478.05</v>
      </c>
      <c r="L22" s="474">
        <f>463321.77+719478.05</f>
        <v>1182799.82</v>
      </c>
      <c r="M22" s="474">
        <v>682365.69</v>
      </c>
      <c r="N22" s="474">
        <v>720735.29</v>
      </c>
      <c r="O22" s="476">
        <v>737637.79</v>
      </c>
      <c r="P22" s="477"/>
      <c r="Q22" s="477">
        <v>728914.01</v>
      </c>
      <c r="R22" s="477">
        <v>682365.69</v>
      </c>
      <c r="S22" s="477">
        <v>741555.83</v>
      </c>
      <c r="T22" s="477">
        <f>728914.01</f>
        <v>728914.01</v>
      </c>
      <c r="U22" s="477">
        <v>666582.42000000004</v>
      </c>
      <c r="V22" s="477"/>
      <c r="W22" s="477">
        <v>588814.98</v>
      </c>
      <c r="X22" s="477"/>
      <c r="Y22" s="477">
        <v>552101.88</v>
      </c>
      <c r="Z22" s="477"/>
      <c r="AA22" s="477">
        <v>444238.41</v>
      </c>
      <c r="AB22" s="477">
        <v>242276.42</v>
      </c>
      <c r="AC22" s="476">
        <f t="shared" si="0"/>
        <v>4521911.370000001</v>
      </c>
      <c r="AD22" s="520"/>
      <c r="AE22" s="476">
        <f t="shared" si="1"/>
        <v>1943891.76</v>
      </c>
      <c r="AF22" s="476">
        <f t="shared" si="2"/>
        <v>8265977.8600000003</v>
      </c>
      <c r="AG22" s="476">
        <f t="shared" si="3"/>
        <v>5687958.25</v>
      </c>
      <c r="AH22" s="476">
        <f t="shared" si="4"/>
        <v>4521911.370000001</v>
      </c>
      <c r="AI22" s="479" t="s">
        <v>404</v>
      </c>
      <c r="AJ22" s="688"/>
    </row>
    <row r="23" spans="1:36" s="459" customFormat="1" ht="23.25" customHeight="1" x14ac:dyDescent="0.45">
      <c r="A23" s="689" t="s">
        <v>89</v>
      </c>
      <c r="B23" s="474">
        <f>'2015-2016'!AC23</f>
        <v>2063917.22</v>
      </c>
      <c r="C23" s="475"/>
      <c r="D23" s="474"/>
      <c r="E23" s="474">
        <v>0</v>
      </c>
      <c r="F23" s="474"/>
      <c r="G23" s="474">
        <v>0</v>
      </c>
      <c r="H23" s="474"/>
      <c r="I23" s="474">
        <v>0</v>
      </c>
      <c r="J23" s="474"/>
      <c r="K23" s="474">
        <v>0</v>
      </c>
      <c r="L23" s="474"/>
      <c r="M23" s="474">
        <v>-44294.78</v>
      </c>
      <c r="N23" s="474"/>
      <c r="O23" s="476">
        <v>0</v>
      </c>
      <c r="P23" s="477"/>
      <c r="Q23" s="477">
        <v>0</v>
      </c>
      <c r="R23" s="477"/>
      <c r="S23" s="477">
        <v>0</v>
      </c>
      <c r="T23" s="477"/>
      <c r="U23" s="477">
        <v>0</v>
      </c>
      <c r="V23" s="477"/>
      <c r="W23" s="477">
        <v>-2024278</v>
      </c>
      <c r="X23" s="477"/>
      <c r="Y23" s="477">
        <v>0</v>
      </c>
      <c r="Z23" s="477"/>
      <c r="AA23" s="477"/>
      <c r="AB23" s="477"/>
      <c r="AC23" s="476">
        <f t="shared" si="0"/>
        <v>-4655.5600000000559</v>
      </c>
      <c r="AD23" s="520"/>
      <c r="AE23" s="476">
        <f t="shared" si="1"/>
        <v>2063917.22</v>
      </c>
      <c r="AF23" s="476">
        <f t="shared" si="2"/>
        <v>-2068572.78</v>
      </c>
      <c r="AG23" s="476">
        <f t="shared" si="3"/>
        <v>0</v>
      </c>
      <c r="AH23" s="476">
        <f t="shared" si="4"/>
        <v>-4655.5600000000559</v>
      </c>
      <c r="AI23" s="479" t="s">
        <v>405</v>
      </c>
      <c r="AJ23" s="688"/>
    </row>
    <row r="24" spans="1:36" s="459" customFormat="1" ht="23.25" customHeight="1" x14ac:dyDescent="0.45">
      <c r="A24" s="689" t="s">
        <v>308</v>
      </c>
      <c r="B24" s="474">
        <f>'2015-2016'!AC24</f>
        <v>3004330.72</v>
      </c>
      <c r="C24" s="475"/>
      <c r="D24" s="474">
        <v>1429366.68</v>
      </c>
      <c r="E24" s="474">
        <v>703865.32</v>
      </c>
      <c r="F24" s="474">
        <v>727171.53</v>
      </c>
      <c r="G24" s="474">
        <v>691218.63</v>
      </c>
      <c r="H24" s="474">
        <f>675369.65</f>
        <v>675369.65</v>
      </c>
      <c r="I24" s="474">
        <v>723265.77</v>
      </c>
      <c r="J24" s="474">
        <f>703865.32</f>
        <v>703865.32</v>
      </c>
      <c r="K24" s="474">
        <v>782965.79</v>
      </c>
      <c r="L24" s="474">
        <f>691218.63</f>
        <v>691218.63</v>
      </c>
      <c r="M24" s="474">
        <v>716244.18</v>
      </c>
      <c r="N24" s="474"/>
      <c r="O24" s="476">
        <v>688489.73</v>
      </c>
      <c r="P24" s="477"/>
      <c r="Q24" s="477">
        <v>691698.83</v>
      </c>
      <c r="R24" s="477"/>
      <c r="S24" s="477">
        <v>686712.47</v>
      </c>
      <c r="T24" s="477"/>
      <c r="U24" s="477">
        <v>690839.82</v>
      </c>
      <c r="V24" s="477"/>
      <c r="W24" s="477">
        <v>652195.96</v>
      </c>
      <c r="X24" s="477"/>
      <c r="Y24" s="477">
        <v>721562.65</v>
      </c>
      <c r="Z24" s="530">
        <v>6353975.2000000002</v>
      </c>
      <c r="AA24" s="477">
        <v>561473.23</v>
      </c>
      <c r="AB24" s="477">
        <v>163935.29</v>
      </c>
      <c r="AC24" s="476">
        <f t="shared" si="0"/>
        <v>897831.38000000129</v>
      </c>
      <c r="AD24" s="520"/>
      <c r="AE24" s="476">
        <f t="shared" si="1"/>
        <v>3004330.72</v>
      </c>
      <c r="AF24" s="476">
        <f t="shared" si="2"/>
        <v>8474467.6699999999</v>
      </c>
      <c r="AG24" s="476">
        <f t="shared" si="3"/>
        <v>10580967.01</v>
      </c>
      <c r="AH24" s="476">
        <f t="shared" si="4"/>
        <v>897831.38000000082</v>
      </c>
      <c r="AI24" s="479" t="s">
        <v>406</v>
      </c>
      <c r="AJ24" s="688"/>
    </row>
    <row r="25" spans="1:36" s="459" customFormat="1" ht="23.25" customHeight="1" x14ac:dyDescent="0.45">
      <c r="A25" s="689" t="s">
        <v>196</v>
      </c>
      <c r="B25" s="474">
        <f>'2015-2016'!AC25</f>
        <v>2125870.77</v>
      </c>
      <c r="C25" s="475"/>
      <c r="D25" s="474"/>
      <c r="E25" s="474">
        <v>0</v>
      </c>
      <c r="F25" s="474"/>
      <c r="G25" s="474">
        <v>0</v>
      </c>
      <c r="H25" s="474"/>
      <c r="I25" s="474">
        <v>578.65</v>
      </c>
      <c r="J25" s="474"/>
      <c r="K25" s="474">
        <v>0</v>
      </c>
      <c r="L25" s="474"/>
      <c r="M25" s="474">
        <v>7190.67</v>
      </c>
      <c r="N25" s="474"/>
      <c r="O25" s="476">
        <v>98912.34</v>
      </c>
      <c r="P25" s="477"/>
      <c r="Q25" s="477">
        <v>9275.5499999999993</v>
      </c>
      <c r="R25" s="477"/>
      <c r="S25" s="477">
        <v>648.76</v>
      </c>
      <c r="T25" s="477"/>
      <c r="U25" s="477">
        <v>0</v>
      </c>
      <c r="V25" s="477"/>
      <c r="W25" s="477">
        <v>823</v>
      </c>
      <c r="X25" s="477"/>
      <c r="Y25" s="477">
        <v>13984.9</v>
      </c>
      <c r="Z25" s="477"/>
      <c r="AA25" s="477">
        <v>9735</v>
      </c>
      <c r="AB25" s="477">
        <v>1751.6</v>
      </c>
      <c r="AC25" s="476">
        <f t="shared" si="0"/>
        <v>2268771.2399999993</v>
      </c>
      <c r="AD25" s="520"/>
      <c r="AE25" s="476">
        <f t="shared" si="1"/>
        <v>2125870.77</v>
      </c>
      <c r="AF25" s="476">
        <f t="shared" si="2"/>
        <v>142900.47</v>
      </c>
      <c r="AG25" s="476">
        <f t="shared" si="3"/>
        <v>0</v>
      </c>
      <c r="AH25" s="476">
        <f t="shared" si="4"/>
        <v>2268771.2400000002</v>
      </c>
      <c r="AI25" s="479" t="s">
        <v>407</v>
      </c>
      <c r="AJ25" s="688"/>
    </row>
    <row r="26" spans="1:36" s="459" customFormat="1" ht="23.25" customHeight="1" x14ac:dyDescent="0.45">
      <c r="A26" s="689" t="s">
        <v>85</v>
      </c>
      <c r="B26" s="474">
        <v>2569337.21</v>
      </c>
      <c r="C26" s="475"/>
      <c r="D26" s="474"/>
      <c r="E26" s="474">
        <v>0</v>
      </c>
      <c r="F26" s="474"/>
      <c r="G26" s="474">
        <v>32610</v>
      </c>
      <c r="H26" s="474"/>
      <c r="I26" s="474">
        <v>16305</v>
      </c>
      <c r="J26" s="474"/>
      <c r="K26" s="474">
        <v>8553</v>
      </c>
      <c r="L26" s="474"/>
      <c r="M26" s="474">
        <v>-211959.97</v>
      </c>
      <c r="N26" s="474"/>
      <c r="O26" s="476">
        <v>8553</v>
      </c>
      <c r="P26" s="477"/>
      <c r="Q26" s="477">
        <v>8553</v>
      </c>
      <c r="R26" s="477"/>
      <c r="S26" s="477">
        <v>8553</v>
      </c>
      <c r="T26" s="477"/>
      <c r="U26" s="477">
        <v>8553</v>
      </c>
      <c r="V26" s="477"/>
      <c r="W26" s="477">
        <v>-2441211</v>
      </c>
      <c r="X26" s="477"/>
      <c r="Y26" s="477">
        <v>8553</v>
      </c>
      <c r="Z26" s="477"/>
      <c r="AA26" s="477">
        <v>8553</v>
      </c>
      <c r="AB26" s="477"/>
      <c r="AC26" s="476">
        <f t="shared" si="0"/>
        <v>24952.239999999758</v>
      </c>
      <c r="AD26" s="520"/>
      <c r="AE26" s="476">
        <f t="shared" si="1"/>
        <v>2569337.21</v>
      </c>
      <c r="AF26" s="476">
        <f t="shared" si="2"/>
        <v>-2544384.9700000002</v>
      </c>
      <c r="AG26" s="476">
        <f t="shared" si="3"/>
        <v>0</v>
      </c>
      <c r="AH26" s="476">
        <f t="shared" si="4"/>
        <v>24952.239999999758</v>
      </c>
      <c r="AI26" s="479" t="s">
        <v>400</v>
      </c>
      <c r="AJ26" s="688"/>
    </row>
    <row r="27" spans="1:36" s="459" customFormat="1" ht="23.25" customHeight="1" x14ac:dyDescent="0.45">
      <c r="A27" s="689" t="s">
        <v>37</v>
      </c>
      <c r="B27" s="474">
        <v>5597560.1399999997</v>
      </c>
      <c r="C27" s="475"/>
      <c r="D27" s="474"/>
      <c r="E27" s="474">
        <v>769610.88</v>
      </c>
      <c r="F27" s="474"/>
      <c r="G27" s="474">
        <v>903647.46</v>
      </c>
      <c r="H27" s="474">
        <f>948194.24+908708.57+799177.2+862629.81+857830.33</f>
        <v>4376540.1499999994</v>
      </c>
      <c r="I27" s="474">
        <v>835479.49</v>
      </c>
      <c r="J27" s="474">
        <f>1603851.07</f>
        <v>1603851.07</v>
      </c>
      <c r="K27" s="474">
        <v>860030.84</v>
      </c>
      <c r="L27" s="474"/>
      <c r="M27" s="474">
        <v>689938.04</v>
      </c>
      <c r="N27" s="474"/>
      <c r="O27" s="476">
        <v>842436.85</v>
      </c>
      <c r="P27" s="477">
        <f>835479.49+903647.46</f>
        <v>1739126.95</v>
      </c>
      <c r="Q27" s="477">
        <v>1037719.06</v>
      </c>
      <c r="R27" s="477"/>
      <c r="S27" s="477">
        <v>856626.91</v>
      </c>
      <c r="T27" s="477"/>
      <c r="U27" s="477">
        <v>889400.95</v>
      </c>
      <c r="V27" s="477"/>
      <c r="W27" s="477">
        <v>723293.73</v>
      </c>
      <c r="X27" s="477"/>
      <c r="Y27" s="477">
        <v>663189.75</v>
      </c>
      <c r="Z27" s="528">
        <v>5176152.6499999994</v>
      </c>
      <c r="AA27" s="477">
        <v>340411.61</v>
      </c>
      <c r="AB27" s="477">
        <v>269510.03999999998</v>
      </c>
      <c r="AC27" s="476">
        <f t="shared" si="0"/>
        <v>2383184.9300000002</v>
      </c>
      <c r="AD27" s="520"/>
      <c r="AE27" s="476">
        <f t="shared" si="1"/>
        <v>5597560.1399999997</v>
      </c>
      <c r="AF27" s="476">
        <f t="shared" si="2"/>
        <v>9681295.6099999975</v>
      </c>
      <c r="AG27" s="476">
        <f t="shared" si="3"/>
        <v>12895670.82</v>
      </c>
      <c r="AH27" s="476">
        <f t="shared" si="4"/>
        <v>2383184.929999996</v>
      </c>
      <c r="AI27" s="479" t="s">
        <v>408</v>
      </c>
      <c r="AJ27" s="688"/>
    </row>
    <row r="28" spans="1:36" s="459" customFormat="1" ht="23.25" customHeight="1" x14ac:dyDescent="0.45">
      <c r="A28" s="689" t="s">
        <v>28</v>
      </c>
      <c r="B28" s="474">
        <f>'2015-2016'!AC28</f>
        <v>4041905.6900000013</v>
      </c>
      <c r="C28" s="475"/>
      <c r="D28" s="474"/>
      <c r="E28" s="474">
        <v>236528.41</v>
      </c>
      <c r="F28" s="474">
        <f>470251.71+159691.38</f>
        <v>629943.09000000008</v>
      </c>
      <c r="G28" s="474">
        <v>169586.07</v>
      </c>
      <c r="H28" s="474"/>
      <c r="I28" s="474">
        <v>150701.16</v>
      </c>
      <c r="J28" s="474">
        <f>238273.71</f>
        <v>238273.71</v>
      </c>
      <c r="K28" s="474">
        <v>189352.48</v>
      </c>
      <c r="L28" s="474">
        <f>310450.81</f>
        <v>310450.81</v>
      </c>
      <c r="M28" s="474">
        <v>1218462.1499999999</v>
      </c>
      <c r="N28" s="474"/>
      <c r="O28" s="476">
        <v>176618.67</v>
      </c>
      <c r="P28" s="477">
        <v>189352.48</v>
      </c>
      <c r="Q28" s="477">
        <v>206207.65</v>
      </c>
      <c r="R28" s="477"/>
      <c r="S28" s="477">
        <v>394532.26</v>
      </c>
      <c r="T28" s="477"/>
      <c r="U28" s="477">
        <v>150714.70000000001</v>
      </c>
      <c r="V28" s="477">
        <f>187703.7</f>
        <v>187703.7</v>
      </c>
      <c r="W28" s="477">
        <v>-654548.81999999995</v>
      </c>
      <c r="X28" s="477"/>
      <c r="Y28" s="477">
        <v>181305.59</v>
      </c>
      <c r="Z28" s="477">
        <f>921482.29</f>
        <v>921482.29</v>
      </c>
      <c r="AA28" s="477">
        <v>89547.03</v>
      </c>
      <c r="AB28" s="477">
        <v>84114.66</v>
      </c>
      <c r="AC28" s="476">
        <f t="shared" si="0"/>
        <v>4157821.6200000006</v>
      </c>
      <c r="AD28" s="520"/>
      <c r="AE28" s="476">
        <f t="shared" si="1"/>
        <v>4041905.6900000013</v>
      </c>
      <c r="AF28" s="476">
        <f t="shared" si="2"/>
        <v>2593122.0099999998</v>
      </c>
      <c r="AG28" s="476">
        <f t="shared" si="3"/>
        <v>2477206.08</v>
      </c>
      <c r="AH28" s="476">
        <f t="shared" si="4"/>
        <v>4157821.620000001</v>
      </c>
      <c r="AI28" s="479" t="s">
        <v>409</v>
      </c>
      <c r="AJ28" s="688"/>
    </row>
    <row r="29" spans="1:36" s="459" customFormat="1" ht="23.25" customHeight="1" x14ac:dyDescent="0.45">
      <c r="A29" s="689" t="s">
        <v>91</v>
      </c>
      <c r="B29" s="474">
        <f>'2015-2016'!AC29</f>
        <v>1272524.5900000003</v>
      </c>
      <c r="C29" s="475"/>
      <c r="D29" s="474"/>
      <c r="E29" s="474">
        <v>0</v>
      </c>
      <c r="F29" s="474"/>
      <c r="G29" s="474">
        <v>0</v>
      </c>
      <c r="H29" s="474"/>
      <c r="I29" s="474">
        <v>0</v>
      </c>
      <c r="J29" s="474"/>
      <c r="K29" s="474">
        <v>0</v>
      </c>
      <c r="L29" s="474"/>
      <c r="M29" s="474">
        <v>0</v>
      </c>
      <c r="N29" s="474"/>
      <c r="O29" s="476">
        <v>0</v>
      </c>
      <c r="P29" s="477"/>
      <c r="Q29" s="477">
        <v>0</v>
      </c>
      <c r="R29" s="477"/>
      <c r="S29" s="477">
        <v>0</v>
      </c>
      <c r="T29" s="477"/>
      <c r="U29" s="477">
        <v>0</v>
      </c>
      <c r="V29" s="477"/>
      <c r="W29" s="477">
        <v>-1273026</v>
      </c>
      <c r="X29" s="477"/>
      <c r="Y29" s="477">
        <v>0</v>
      </c>
      <c r="Z29" s="477"/>
      <c r="AA29" s="477"/>
      <c r="AB29" s="477"/>
      <c r="AC29" s="476">
        <f t="shared" si="0"/>
        <v>-501.40999999968335</v>
      </c>
      <c r="AD29" s="520"/>
      <c r="AE29" s="476">
        <f t="shared" si="1"/>
        <v>1272524.5900000003</v>
      </c>
      <c r="AF29" s="476">
        <f t="shared" si="2"/>
        <v>-1273026</v>
      </c>
      <c r="AG29" s="476">
        <f t="shared" si="3"/>
        <v>0</v>
      </c>
      <c r="AH29" s="476">
        <f t="shared" si="4"/>
        <v>-501.40999999968335</v>
      </c>
      <c r="AI29" s="479" t="s">
        <v>400</v>
      </c>
      <c r="AJ29" s="688"/>
    </row>
    <row r="30" spans="1:36" s="459" customFormat="1" ht="23.25" customHeight="1" x14ac:dyDescent="0.45">
      <c r="A30" s="689" t="s">
        <v>57</v>
      </c>
      <c r="B30" s="474">
        <f>'2015-2016'!AC30</f>
        <v>1471025.3299999998</v>
      </c>
      <c r="C30" s="475"/>
      <c r="D30" s="474"/>
      <c r="E30" s="474">
        <v>897102.88</v>
      </c>
      <c r="F30" s="474">
        <f>1157141.91+897102.98</f>
        <v>2054244.89</v>
      </c>
      <c r="G30" s="474">
        <v>963269.86</v>
      </c>
      <c r="H30" s="474"/>
      <c r="I30" s="474">
        <v>925418.27</v>
      </c>
      <c r="J30" s="474">
        <f>963269.86+925418.27</f>
        <v>1888688.13</v>
      </c>
      <c r="K30" s="474">
        <v>931520.81</v>
      </c>
      <c r="L30" s="474">
        <v>931520.81</v>
      </c>
      <c r="M30" s="474">
        <v>1139946.73</v>
      </c>
      <c r="N30" s="474"/>
      <c r="O30" s="476">
        <v>915347.49</v>
      </c>
      <c r="P30" s="477"/>
      <c r="Q30" s="477">
        <v>997676.18</v>
      </c>
      <c r="R30" s="477">
        <v>1829651.15</v>
      </c>
      <c r="S30" s="477">
        <v>981323.99</v>
      </c>
      <c r="T30" s="477">
        <f>997676.18</f>
        <v>997676.18</v>
      </c>
      <c r="U30" s="477">
        <v>907725.33</v>
      </c>
      <c r="V30" s="477">
        <f>1889049.32</f>
        <v>1889049.32</v>
      </c>
      <c r="W30" s="477">
        <v>898611.68</v>
      </c>
      <c r="X30" s="477">
        <v>898611.68</v>
      </c>
      <c r="Y30" s="477">
        <v>1025789.97</v>
      </c>
      <c r="Z30" s="530">
        <v>1025789.97</v>
      </c>
      <c r="AA30" s="477">
        <v>688737.37</v>
      </c>
      <c r="AB30" s="477">
        <v>278138.84999999998</v>
      </c>
      <c r="AC30" s="476">
        <f t="shared" si="0"/>
        <v>1506402.6100000003</v>
      </c>
      <c r="AD30" s="520"/>
      <c r="AE30" s="476">
        <f t="shared" si="1"/>
        <v>1471025.3299999998</v>
      </c>
      <c r="AF30" s="476">
        <f t="shared" si="2"/>
        <v>11550609.409999998</v>
      </c>
      <c r="AG30" s="476">
        <f t="shared" si="3"/>
        <v>11515232.130000001</v>
      </c>
      <c r="AH30" s="476">
        <f t="shared" si="4"/>
        <v>1506402.6099999975</v>
      </c>
      <c r="AI30" s="479" t="s">
        <v>410</v>
      </c>
      <c r="AJ30" s="458"/>
    </row>
    <row r="31" spans="1:36" s="459" customFormat="1" ht="23.25" customHeight="1" x14ac:dyDescent="0.45">
      <c r="A31" s="689" t="s">
        <v>53</v>
      </c>
      <c r="B31" s="474">
        <f>'2015-2016'!AC31</f>
        <v>2225486.4299999988</v>
      </c>
      <c r="C31" s="475"/>
      <c r="D31" s="474"/>
      <c r="E31" s="474">
        <v>0</v>
      </c>
      <c r="F31" s="474"/>
      <c r="G31" s="474">
        <v>13816</v>
      </c>
      <c r="H31" s="474"/>
      <c r="I31" s="474">
        <v>0</v>
      </c>
      <c r="J31" s="474"/>
      <c r="K31" s="474">
        <v>0</v>
      </c>
      <c r="L31" s="474"/>
      <c r="M31" s="474">
        <v>-309734.32</v>
      </c>
      <c r="N31" s="474"/>
      <c r="O31" s="476">
        <v>0</v>
      </c>
      <c r="P31" s="477"/>
      <c r="Q31" s="477">
        <v>0</v>
      </c>
      <c r="R31" s="477"/>
      <c r="S31" s="477">
        <v>0</v>
      </c>
      <c r="T31" s="477"/>
      <c r="U31" s="477">
        <v>0</v>
      </c>
      <c r="V31" s="477"/>
      <c r="W31" s="477">
        <v>-1924858</v>
      </c>
      <c r="X31" s="477"/>
      <c r="Y31" s="477">
        <v>0</v>
      </c>
      <c r="Z31" s="477"/>
      <c r="AA31" s="477"/>
      <c r="AB31" s="477"/>
      <c r="AC31" s="476">
        <f t="shared" si="0"/>
        <v>4710.1099999987055</v>
      </c>
      <c r="AD31" s="520"/>
      <c r="AE31" s="476">
        <f t="shared" si="1"/>
        <v>2225486.4299999988</v>
      </c>
      <c r="AF31" s="476">
        <f t="shared" si="2"/>
        <v>-2220776.3199999998</v>
      </c>
      <c r="AG31" s="476">
        <f t="shared" si="3"/>
        <v>0</v>
      </c>
      <c r="AH31" s="476">
        <f t="shared" si="4"/>
        <v>4710.1099999989383</v>
      </c>
      <c r="AI31" s="479" t="s">
        <v>400</v>
      </c>
      <c r="AJ31" s="688"/>
    </row>
    <row r="32" spans="1:36" s="459" customFormat="1" ht="23.25" customHeight="1" x14ac:dyDescent="0.45">
      <c r="A32" s="689" t="s">
        <v>65</v>
      </c>
      <c r="B32" s="474">
        <f>'2015-2016'!AC32</f>
        <v>975091.28000000014</v>
      </c>
      <c r="C32" s="475"/>
      <c r="D32" s="474">
        <v>54159.91</v>
      </c>
      <c r="E32" s="474">
        <v>52041.3</v>
      </c>
      <c r="F32" s="474"/>
      <c r="G32" s="474">
        <v>81241.009999999995</v>
      </c>
      <c r="H32" s="474"/>
      <c r="I32" s="474">
        <v>75421.05</v>
      </c>
      <c r="J32" s="474">
        <f>91582.83</f>
        <v>91582.83</v>
      </c>
      <c r="K32" s="474">
        <v>73775.520000000004</v>
      </c>
      <c r="L32" s="474">
        <f>75421.05+52041.3</f>
        <v>127462.35</v>
      </c>
      <c r="M32" s="474">
        <v>67628.679999999993</v>
      </c>
      <c r="N32" s="474"/>
      <c r="O32" s="476">
        <v>60512.480000000003</v>
      </c>
      <c r="P32" s="477">
        <v>73775.520000000004</v>
      </c>
      <c r="Q32" s="477">
        <v>85932.160000000003</v>
      </c>
      <c r="R32" s="477">
        <f>128141.16+85932.16</f>
        <v>214073.32</v>
      </c>
      <c r="S32" s="477">
        <v>108957.15</v>
      </c>
      <c r="T32" s="477"/>
      <c r="U32" s="477">
        <v>97773.59</v>
      </c>
      <c r="V32" s="477">
        <v>108957.15</v>
      </c>
      <c r="W32" s="477">
        <v>87076.27</v>
      </c>
      <c r="X32" s="477">
        <f>87076.27+97773.59</f>
        <v>184849.86</v>
      </c>
      <c r="Y32" s="477">
        <v>99079.44</v>
      </c>
      <c r="Z32" s="530">
        <v>193863.73</v>
      </c>
      <c r="AA32" s="477">
        <v>94784.29</v>
      </c>
      <c r="AB32" s="477">
        <v>5495.43</v>
      </c>
      <c r="AC32" s="476">
        <f t="shared" si="0"/>
        <v>916084.9800000001</v>
      </c>
      <c r="AD32" s="520"/>
      <c r="AE32" s="476">
        <f t="shared" si="1"/>
        <v>975091.28000000014</v>
      </c>
      <c r="AF32" s="476">
        <f t="shared" si="2"/>
        <v>989718.37</v>
      </c>
      <c r="AG32" s="476">
        <f t="shared" si="3"/>
        <v>1048724.67</v>
      </c>
      <c r="AH32" s="476">
        <f t="shared" si="4"/>
        <v>916084.98000000021</v>
      </c>
      <c r="AI32" s="479" t="s">
        <v>411</v>
      </c>
      <c r="AJ32" s="688"/>
    </row>
    <row r="33" spans="1:35" s="459" customFormat="1" ht="23.25" customHeight="1" x14ac:dyDescent="0.45">
      <c r="A33" s="689" t="s">
        <v>335</v>
      </c>
      <c r="B33" s="474">
        <f>'2015-2016'!AC33</f>
        <v>1419275.7700000005</v>
      </c>
      <c r="C33" s="475"/>
      <c r="D33" s="474">
        <v>1063227.8500000001</v>
      </c>
      <c r="E33" s="474">
        <v>1260032.6000000001</v>
      </c>
      <c r="F33" s="474"/>
      <c r="G33" s="474">
        <v>1158014.73</v>
      </c>
      <c r="H33" s="474">
        <f>1260032.6+1158014.73</f>
        <v>2418047.33</v>
      </c>
      <c r="I33" s="474">
        <v>1123275.58</v>
      </c>
      <c r="J33" s="474"/>
      <c r="K33" s="474">
        <v>1152765.97</v>
      </c>
      <c r="L33" s="474">
        <f>1123275.58+1152765.97</f>
        <v>2276041.5499999998</v>
      </c>
      <c r="M33" s="477">
        <v>-2025273.02</v>
      </c>
      <c r="N33" s="474"/>
      <c r="O33" s="476">
        <v>1093184.43</v>
      </c>
      <c r="P33" s="477"/>
      <c r="Q33" s="477">
        <v>1179928.29</v>
      </c>
      <c r="R33" s="477"/>
      <c r="S33" s="477">
        <v>1266492.46</v>
      </c>
      <c r="T33" s="477"/>
      <c r="U33" s="477">
        <v>1194027.6100000001</v>
      </c>
      <c r="V33" s="477"/>
      <c r="W33" s="477">
        <v>1118280.3700000001</v>
      </c>
      <c r="X33" s="477"/>
      <c r="Y33" s="477">
        <v>1207414.21</v>
      </c>
      <c r="Z33" s="461">
        <v>5789347.4699999997</v>
      </c>
      <c r="AA33" s="477">
        <v>755293.13</v>
      </c>
      <c r="AB33" s="477">
        <v>528145.68000000005</v>
      </c>
      <c r="AC33" s="476">
        <f t="shared" si="0"/>
        <v>884193.61000000173</v>
      </c>
      <c r="AD33" s="520"/>
      <c r="AE33" s="476">
        <f t="shared" si="1"/>
        <v>1419275.7700000005</v>
      </c>
      <c r="AF33" s="476">
        <f t="shared" si="2"/>
        <v>11011582.040000001</v>
      </c>
      <c r="AG33" s="476">
        <f t="shared" si="3"/>
        <v>11546664.199999999</v>
      </c>
      <c r="AH33" s="476">
        <f t="shared" si="4"/>
        <v>884193.61000000313</v>
      </c>
      <c r="AI33" s="479" t="s">
        <v>410</v>
      </c>
    </row>
    <row r="34" spans="1:35" s="459" customFormat="1" ht="23.25" customHeight="1" x14ac:dyDescent="0.45">
      <c r="A34" s="689" t="s">
        <v>186</v>
      </c>
      <c r="B34" s="474">
        <f>'2015-2016'!AC34</f>
        <v>301112.5400000012</v>
      </c>
      <c r="C34" s="475"/>
      <c r="D34" s="474">
        <f>39037.66+24834.52</f>
        <v>63872.180000000008</v>
      </c>
      <c r="E34" s="474">
        <v>62549.7</v>
      </c>
      <c r="F34" s="474">
        <f>62549.7</f>
        <v>62549.7</v>
      </c>
      <c r="G34" s="474">
        <v>63136.49</v>
      </c>
      <c r="H34" s="474">
        <f>63136.49</f>
        <v>63136.49</v>
      </c>
      <c r="I34" s="474">
        <v>64943.05</v>
      </c>
      <c r="J34" s="474"/>
      <c r="K34" s="474">
        <v>67836.37</v>
      </c>
      <c r="L34" s="474">
        <v>64943.05</v>
      </c>
      <c r="M34" s="474">
        <v>-136512.56</v>
      </c>
      <c r="N34" s="474">
        <v>67836.37</v>
      </c>
      <c r="O34" s="476">
        <v>61850.57</v>
      </c>
      <c r="P34" s="477">
        <v>61850.57</v>
      </c>
      <c r="Q34" s="477">
        <v>60296.63</v>
      </c>
      <c r="R34" s="477">
        <v>60296.63</v>
      </c>
      <c r="S34" s="477">
        <v>76607.83</v>
      </c>
      <c r="T34" s="477"/>
      <c r="U34" s="477">
        <v>62514.28</v>
      </c>
      <c r="V34" s="477">
        <f>76607.83</f>
        <v>76607.83</v>
      </c>
      <c r="W34" s="477">
        <v>63965.42</v>
      </c>
      <c r="X34" s="477"/>
      <c r="Y34" s="477">
        <v>65817.179999999993</v>
      </c>
      <c r="Z34" s="528">
        <v>248893.82</v>
      </c>
      <c r="AA34" s="477">
        <v>56596.94</v>
      </c>
      <c r="AB34" s="477">
        <v>4116.2</v>
      </c>
      <c r="AC34" s="476">
        <f t="shared" si="0"/>
        <v>104844.00000000121</v>
      </c>
      <c r="AD34" s="520"/>
      <c r="AE34" s="476">
        <f t="shared" si="1"/>
        <v>301112.5400000012</v>
      </c>
      <c r="AF34" s="476">
        <f t="shared" si="2"/>
        <v>573718.09999999986</v>
      </c>
      <c r="AG34" s="476">
        <f t="shared" si="3"/>
        <v>769986.64</v>
      </c>
      <c r="AH34" s="476">
        <f t="shared" si="4"/>
        <v>104844.00000000105</v>
      </c>
      <c r="AI34" s="479" t="s">
        <v>408</v>
      </c>
    </row>
    <row r="35" spans="1:35" s="459" customFormat="1" ht="23.25" customHeight="1" x14ac:dyDescent="0.45">
      <c r="A35" s="689" t="s">
        <v>39</v>
      </c>
      <c r="B35" s="474">
        <f>'2015-2016'!AC35</f>
        <v>2042215.4299999997</v>
      </c>
      <c r="C35" s="475"/>
      <c r="D35" s="474"/>
      <c r="E35" s="474">
        <v>240470.77</v>
      </c>
      <c r="F35" s="474">
        <f>19300.31+19812.41+49242.25+11085+132293.35</f>
        <v>231733.32</v>
      </c>
      <c r="G35" s="474">
        <v>524963.1</v>
      </c>
      <c r="H35" s="474">
        <f>8889.99+100485.68</f>
        <v>109375.67</v>
      </c>
      <c r="I35" s="474">
        <v>413459.07</v>
      </c>
      <c r="J35" s="474">
        <f>464339.47+3181.62+15991.53+82136.07+49392.77+5635+11897.35+22682.03+6509.62+100315.38+110152.27+11384.21</f>
        <v>883617.32</v>
      </c>
      <c r="K35" s="474">
        <v>359248.03</v>
      </c>
      <c r="L35" s="474">
        <f>15738.57+23640.9+47238.76+12682.41</f>
        <v>99300.640000000014</v>
      </c>
      <c r="M35" s="474">
        <v>371522.28</v>
      </c>
      <c r="N35" s="474">
        <f>48436.95+52252.06+29959.64+59631.4+222012.69+388129.42+9723.65+12833.14+54386.85+614.79+31859.44+9390.83</f>
        <v>919230.85999999987</v>
      </c>
      <c r="O35" s="476">
        <v>313595.40999999997</v>
      </c>
      <c r="P35" s="477">
        <f>6527+8697.94+22645.7+11653.41+11335.81</f>
        <v>60859.86</v>
      </c>
      <c r="Q35" s="477">
        <v>343191.55</v>
      </c>
      <c r="R35" s="477">
        <f>127741.57+38302.36+48767.31+31112+11599+11975.35+208462.4+61103.44+66538.34</f>
        <v>605601.7699999999</v>
      </c>
      <c r="S35" s="477">
        <v>369365.69</v>
      </c>
      <c r="T35" s="477"/>
      <c r="U35" s="477">
        <v>435802.79</v>
      </c>
      <c r="V35" s="477">
        <f>196402.9+50895.78+117093.23+27276.92</f>
        <v>391668.82999999996</v>
      </c>
      <c r="W35" s="477">
        <v>482911.77</v>
      </c>
      <c r="X35" s="477">
        <f>77386.54+137507.57</f>
        <v>214894.11</v>
      </c>
      <c r="Y35" s="477">
        <v>473178.59</v>
      </c>
      <c r="Z35" s="528">
        <v>1215107.5</v>
      </c>
      <c r="AA35" s="477">
        <v>372010.69</v>
      </c>
      <c r="AB35" s="477">
        <v>171913.25</v>
      </c>
      <c r="AC35" s="476">
        <f t="shared" si="0"/>
        <v>2182458.5399999991</v>
      </c>
      <c r="AD35" s="520"/>
      <c r="AE35" s="476">
        <f t="shared" si="1"/>
        <v>2042215.4299999997</v>
      </c>
      <c r="AF35" s="476">
        <f t="shared" si="2"/>
        <v>4871632.99</v>
      </c>
      <c r="AG35" s="476">
        <f t="shared" si="3"/>
        <v>4731389.88</v>
      </c>
      <c r="AH35" s="476">
        <f t="shared" si="4"/>
        <v>2182458.54</v>
      </c>
      <c r="AI35" s="479" t="s">
        <v>412</v>
      </c>
    </row>
    <row r="36" spans="1:35" s="459" customFormat="1" ht="23.25" customHeight="1" x14ac:dyDescent="0.45">
      <c r="A36" s="689" t="s">
        <v>73</v>
      </c>
      <c r="B36" s="474">
        <v>1791389.56</v>
      </c>
      <c r="C36" s="475"/>
      <c r="D36" s="474">
        <v>360838.81</v>
      </c>
      <c r="E36" s="481">
        <v>462951.58</v>
      </c>
      <c r="F36" s="481">
        <v>397419.53</v>
      </c>
      <c r="G36" s="481">
        <v>425622.05</v>
      </c>
      <c r="H36" s="481">
        <f>451584.11</f>
        <v>451584.11</v>
      </c>
      <c r="I36" s="481">
        <v>433831.67</v>
      </c>
      <c r="J36" s="481">
        <f>460939.58+412935.05</f>
        <v>873874.63</v>
      </c>
      <c r="K36" s="482">
        <v>451457.11</v>
      </c>
      <c r="L36" s="482"/>
      <c r="M36" s="482">
        <v>460701.02</v>
      </c>
      <c r="N36" s="482">
        <f>431871.67</f>
        <v>431871.67</v>
      </c>
      <c r="O36" s="476">
        <v>418238.13</v>
      </c>
      <c r="P36" s="477">
        <f>449497.11</f>
        <v>449497.11</v>
      </c>
      <c r="Q36" s="477">
        <v>445539.34</v>
      </c>
      <c r="R36" s="477"/>
      <c r="S36" s="477">
        <v>468147.61</v>
      </c>
      <c r="T36" s="477">
        <f>344048.26+416278.13</f>
        <v>760326.39</v>
      </c>
      <c r="U36" s="477">
        <v>399070.91</v>
      </c>
      <c r="V36" s="477">
        <f>426782.41</f>
        <v>426782.41</v>
      </c>
      <c r="W36" s="477">
        <v>357716.41</v>
      </c>
      <c r="X36" s="477">
        <f>438727.78</f>
        <v>438727.78</v>
      </c>
      <c r="Y36" s="477">
        <v>416236.73</v>
      </c>
      <c r="Z36" s="530">
        <v>318842.11</v>
      </c>
      <c r="AA36" s="477">
        <v>329223.33</v>
      </c>
      <c r="AB36" s="477">
        <v>114136.08</v>
      </c>
      <c r="AC36" s="476">
        <f t="shared" si="0"/>
        <v>2064496.9800000004</v>
      </c>
      <c r="AD36" s="520"/>
      <c r="AE36" s="476">
        <f t="shared" si="1"/>
        <v>1791389.56</v>
      </c>
      <c r="AF36" s="476">
        <f t="shared" si="2"/>
        <v>5182871.9700000007</v>
      </c>
      <c r="AG36" s="476">
        <f t="shared" si="3"/>
        <v>4909764.5500000007</v>
      </c>
      <c r="AH36" s="476">
        <f t="shared" si="4"/>
        <v>2064496.9800000004</v>
      </c>
      <c r="AI36" s="479" t="s">
        <v>413</v>
      </c>
    </row>
    <row r="37" spans="1:35" s="459" customFormat="1" ht="23.25" customHeight="1" x14ac:dyDescent="0.45">
      <c r="A37" s="689" t="s">
        <v>54</v>
      </c>
      <c r="B37" s="474">
        <f>'2015-2016'!AC37</f>
        <v>918942.24000000011</v>
      </c>
      <c r="C37" s="475"/>
      <c r="D37" s="474"/>
      <c r="E37" s="481">
        <v>0</v>
      </c>
      <c r="F37" s="481"/>
      <c r="G37" s="481">
        <v>0</v>
      </c>
      <c r="H37" s="481"/>
      <c r="I37" s="481">
        <v>0</v>
      </c>
      <c r="J37" s="481"/>
      <c r="K37" s="482">
        <v>0</v>
      </c>
      <c r="L37" s="482"/>
      <c r="M37" s="482">
        <v>0</v>
      </c>
      <c r="N37" s="482"/>
      <c r="O37" s="476">
        <v>0</v>
      </c>
      <c r="P37" s="477"/>
      <c r="Q37" s="477">
        <v>0</v>
      </c>
      <c r="R37" s="477"/>
      <c r="S37" s="477">
        <v>0</v>
      </c>
      <c r="T37" s="477"/>
      <c r="U37" s="477">
        <v>0</v>
      </c>
      <c r="V37" s="477"/>
      <c r="W37" s="477">
        <v>-147375.88</v>
      </c>
      <c r="X37" s="477"/>
      <c r="Y37" s="477">
        <v>0</v>
      </c>
      <c r="Z37" s="477"/>
      <c r="AA37" s="477"/>
      <c r="AB37" s="477"/>
      <c r="AC37" s="476">
        <f t="shared" si="0"/>
        <v>771566.3600000001</v>
      </c>
      <c r="AD37" s="520"/>
      <c r="AE37" s="476">
        <f t="shared" si="1"/>
        <v>918942.24000000011</v>
      </c>
      <c r="AF37" s="476">
        <f t="shared" si="2"/>
        <v>-147375.88</v>
      </c>
      <c r="AG37" s="476">
        <f t="shared" si="3"/>
        <v>0</v>
      </c>
      <c r="AH37" s="476">
        <f t="shared" si="4"/>
        <v>771566.3600000001</v>
      </c>
      <c r="AI37" s="479" t="s">
        <v>414</v>
      </c>
    </row>
    <row r="38" spans="1:35" s="459" customFormat="1" ht="23.25" customHeight="1" x14ac:dyDescent="0.45">
      <c r="A38" s="689" t="s">
        <v>44</v>
      </c>
      <c r="B38" s="474">
        <f>'2015-2016'!AC38</f>
        <v>1516099.0199999993</v>
      </c>
      <c r="C38" s="475"/>
      <c r="D38" s="474"/>
      <c r="E38" s="481">
        <v>24731.52</v>
      </c>
      <c r="F38" s="481"/>
      <c r="G38" s="481">
        <v>15011.26</v>
      </c>
      <c r="H38" s="481"/>
      <c r="I38" s="481">
        <v>0</v>
      </c>
      <c r="J38" s="481">
        <f>274120.39+111441.47</f>
        <v>385561.86</v>
      </c>
      <c r="K38" s="482">
        <v>0</v>
      </c>
      <c r="L38" s="482">
        <f>19423.15</f>
        <v>19423.150000000001</v>
      </c>
      <c r="M38" s="482">
        <v>-432468.85</v>
      </c>
      <c r="N38" s="482"/>
      <c r="O38" s="476">
        <v>0</v>
      </c>
      <c r="P38" s="477"/>
      <c r="Q38" s="477">
        <v>0</v>
      </c>
      <c r="R38" s="477"/>
      <c r="S38" s="477">
        <v>0</v>
      </c>
      <c r="T38" s="477"/>
      <c r="U38" s="477">
        <v>0</v>
      </c>
      <c r="V38" s="477"/>
      <c r="W38" s="477">
        <v>-18510.34</v>
      </c>
      <c r="X38" s="477"/>
      <c r="Y38" s="477">
        <v>0</v>
      </c>
      <c r="Z38" s="477"/>
      <c r="AA38" s="477"/>
      <c r="AB38" s="477"/>
      <c r="AC38" s="476">
        <f t="shared" ref="AC38:AC69" si="5">B38-C38-D38+E38-F38+G38-H38+I38-J38+K38-L38+M38-N38+O38-P38+Q38-R38+S38-T38+U38-V38+W38-X38+Y38-Z38+AA38+AB38</f>
        <v>699877.59999999963</v>
      </c>
      <c r="AD38" s="520"/>
      <c r="AE38" s="476">
        <f t="shared" ref="AE38:AE69" si="6">B38</f>
        <v>1516099.0199999993</v>
      </c>
      <c r="AF38" s="476">
        <f t="shared" ref="AF38:AF69" si="7">E38+G38+I38+K38+M38+O38+Q38+S38+U38+W38+Y38+AA38+AB38</f>
        <v>-411236.41</v>
      </c>
      <c r="AG38" s="476">
        <f t="shared" ref="AG38:AG69" si="8">D38+F38+H38+J38+L38+N38+P38+R38+T38+V38+X38+Z38</f>
        <v>404985.01</v>
      </c>
      <c r="AH38" s="476">
        <f t="shared" si="4"/>
        <v>699877.59999999939</v>
      </c>
      <c r="AI38" s="479" t="s">
        <v>412</v>
      </c>
    </row>
    <row r="39" spans="1:35" s="459" customFormat="1" ht="23.25" customHeight="1" x14ac:dyDescent="0.45">
      <c r="A39" s="689" t="s">
        <v>42</v>
      </c>
      <c r="B39" s="474">
        <f>'2015-2016'!AC39</f>
        <v>814623.35999999987</v>
      </c>
      <c r="C39" s="475"/>
      <c r="D39" s="474">
        <v>736202.81</v>
      </c>
      <c r="E39" s="481">
        <v>496094.17</v>
      </c>
      <c r="F39" s="481">
        <f>94503.43</f>
        <v>94503.43</v>
      </c>
      <c r="G39" s="481">
        <v>438567.69</v>
      </c>
      <c r="H39" s="481">
        <v>496094.17</v>
      </c>
      <c r="I39" s="481">
        <v>438080.46</v>
      </c>
      <c r="J39" s="481">
        <f>438567.69</f>
        <v>438567.69</v>
      </c>
      <c r="K39" s="482">
        <v>450222.24</v>
      </c>
      <c r="L39" s="482">
        <f>438080.46</f>
        <v>438080.46</v>
      </c>
      <c r="M39" s="482">
        <v>377281.38</v>
      </c>
      <c r="N39" s="482">
        <v>450222.24</v>
      </c>
      <c r="O39" s="476">
        <v>479969.71</v>
      </c>
      <c r="P39" s="477"/>
      <c r="Q39" s="477">
        <v>463402.81</v>
      </c>
      <c r="R39" s="477">
        <v>857251.1</v>
      </c>
      <c r="S39" s="477">
        <v>504947.76</v>
      </c>
      <c r="T39" s="477">
        <v>463402.81</v>
      </c>
      <c r="U39" s="477">
        <v>501086.92</v>
      </c>
      <c r="V39" s="477"/>
      <c r="W39" s="477">
        <v>437346.51</v>
      </c>
      <c r="X39" s="477">
        <f>504947.76+501086.92</f>
        <v>1006034.6799999999</v>
      </c>
      <c r="Y39" s="477">
        <v>473701.3</v>
      </c>
      <c r="Z39" s="477">
        <f>437346.51</f>
        <v>437346.51</v>
      </c>
      <c r="AA39" s="477">
        <v>330426.3</v>
      </c>
      <c r="AB39" s="477">
        <v>152129.95000000001</v>
      </c>
      <c r="AC39" s="476">
        <f t="shared" si="5"/>
        <v>940174.65999999992</v>
      </c>
      <c r="AD39" s="520"/>
      <c r="AE39" s="476">
        <f t="shared" si="6"/>
        <v>814623.35999999987</v>
      </c>
      <c r="AF39" s="476">
        <f t="shared" si="7"/>
        <v>5543257.1999999993</v>
      </c>
      <c r="AG39" s="476">
        <f t="shared" si="8"/>
        <v>5417705.8999999994</v>
      </c>
      <c r="AH39" s="476">
        <f t="shared" si="4"/>
        <v>940174.65999999922</v>
      </c>
      <c r="AI39" s="479" t="s">
        <v>415</v>
      </c>
    </row>
    <row r="40" spans="1:35" s="459" customFormat="1" ht="23.25" customHeight="1" x14ac:dyDescent="0.45">
      <c r="A40" s="689" t="s">
        <v>49</v>
      </c>
      <c r="B40" s="474">
        <f>'2015-2016'!AC40</f>
        <v>751599.03</v>
      </c>
      <c r="C40" s="475"/>
      <c r="D40" s="474"/>
      <c r="E40" s="481">
        <v>0</v>
      </c>
      <c r="F40" s="481"/>
      <c r="G40" s="481">
        <v>0</v>
      </c>
      <c r="H40" s="481"/>
      <c r="I40" s="481">
        <v>0</v>
      </c>
      <c r="J40" s="481"/>
      <c r="K40" s="482">
        <v>0</v>
      </c>
      <c r="L40" s="482"/>
      <c r="M40" s="482">
        <v>-215155.81</v>
      </c>
      <c r="N40" s="482"/>
      <c r="O40" s="476">
        <v>0</v>
      </c>
      <c r="P40" s="477"/>
      <c r="Q40" s="477">
        <v>0</v>
      </c>
      <c r="R40" s="477"/>
      <c r="S40" s="477">
        <v>0</v>
      </c>
      <c r="T40" s="477"/>
      <c r="U40" s="477">
        <v>0</v>
      </c>
      <c r="V40" s="477"/>
      <c r="W40" s="477">
        <v>0</v>
      </c>
      <c r="X40" s="477"/>
      <c r="Y40" s="477">
        <v>0</v>
      </c>
      <c r="Z40" s="477"/>
      <c r="AA40" s="477"/>
      <c r="AB40" s="477"/>
      <c r="AC40" s="476">
        <f t="shared" si="5"/>
        <v>536443.22</v>
      </c>
      <c r="AD40" s="520"/>
      <c r="AE40" s="476">
        <f t="shared" si="6"/>
        <v>751599.03</v>
      </c>
      <c r="AF40" s="476">
        <f t="shared" si="7"/>
        <v>-215155.81</v>
      </c>
      <c r="AG40" s="476">
        <f t="shared" si="8"/>
        <v>0</v>
      </c>
      <c r="AH40" s="476">
        <f t="shared" si="4"/>
        <v>536443.22</v>
      </c>
      <c r="AI40" s="479" t="s">
        <v>416</v>
      </c>
    </row>
    <row r="41" spans="1:35" s="459" customFormat="1" ht="23.25" customHeight="1" x14ac:dyDescent="0.45">
      <c r="A41" s="689" t="s">
        <v>63</v>
      </c>
      <c r="B41" s="474">
        <f>'2015-2016'!AC41</f>
        <v>676372.64000000048</v>
      </c>
      <c r="C41" s="475"/>
      <c r="D41" s="474"/>
      <c r="E41" s="481">
        <v>0</v>
      </c>
      <c r="F41" s="481"/>
      <c r="G41" s="481">
        <v>0</v>
      </c>
      <c r="H41" s="481"/>
      <c r="I41" s="481">
        <v>0</v>
      </c>
      <c r="J41" s="481"/>
      <c r="K41" s="482">
        <v>0</v>
      </c>
      <c r="L41" s="482"/>
      <c r="M41" s="482">
        <v>-37202.239999999998</v>
      </c>
      <c r="N41" s="482"/>
      <c r="O41" s="476">
        <v>0</v>
      </c>
      <c r="P41" s="477"/>
      <c r="Q41" s="477">
        <v>0</v>
      </c>
      <c r="R41" s="477"/>
      <c r="S41" s="477">
        <v>0</v>
      </c>
      <c r="T41" s="477"/>
      <c r="U41" s="477">
        <v>0</v>
      </c>
      <c r="V41" s="477"/>
      <c r="W41" s="477">
        <v>-644096.25</v>
      </c>
      <c r="X41" s="477"/>
      <c r="Y41" s="477">
        <v>0</v>
      </c>
      <c r="Z41" s="477"/>
      <c r="AA41" s="477"/>
      <c r="AB41" s="477"/>
      <c r="AC41" s="476">
        <f t="shared" si="5"/>
        <v>-4925.8499999995111</v>
      </c>
      <c r="AD41" s="520"/>
      <c r="AE41" s="476">
        <f t="shared" si="6"/>
        <v>676372.64000000048</v>
      </c>
      <c r="AF41" s="476">
        <f t="shared" si="7"/>
        <v>-681298.49</v>
      </c>
      <c r="AG41" s="476">
        <f t="shared" si="8"/>
        <v>0</v>
      </c>
      <c r="AH41" s="476">
        <f t="shared" si="4"/>
        <v>-4925.8499999995111</v>
      </c>
      <c r="AI41" s="479" t="s">
        <v>416</v>
      </c>
    </row>
    <row r="42" spans="1:35" s="459" customFormat="1" ht="23.25" customHeight="1" x14ac:dyDescent="0.45">
      <c r="A42" s="689" t="s">
        <v>60</v>
      </c>
      <c r="B42" s="474">
        <f>'2015-2016'!AC42</f>
        <v>1704887.0090000008</v>
      </c>
      <c r="C42" s="475"/>
      <c r="D42" s="474"/>
      <c r="E42" s="481">
        <v>624453.81000000006</v>
      </c>
      <c r="F42" s="481">
        <f>596929.67+730634.2+173538.82</f>
        <v>1501102.6900000002</v>
      </c>
      <c r="G42" s="481">
        <v>896107.86</v>
      </c>
      <c r="H42" s="481">
        <f>624453.81</f>
        <v>624453.81000000006</v>
      </c>
      <c r="I42" s="481">
        <v>894844.35</v>
      </c>
      <c r="J42" s="481">
        <f>896107.86</f>
        <v>896107.86</v>
      </c>
      <c r="K42" s="482">
        <v>966314</v>
      </c>
      <c r="L42" s="482">
        <v>894844.35</v>
      </c>
      <c r="M42" s="482">
        <v>301239.99</v>
      </c>
      <c r="N42" s="482">
        <v>966314</v>
      </c>
      <c r="O42" s="476">
        <v>856076.64</v>
      </c>
      <c r="P42" s="477"/>
      <c r="Q42" s="477">
        <v>862467.51</v>
      </c>
      <c r="R42" s="477">
        <f>1058846.63</f>
        <v>1058846.6299999999</v>
      </c>
      <c r="S42" s="477">
        <v>968780.67</v>
      </c>
      <c r="T42" s="477">
        <f>968780.67+1718544.15</f>
        <v>2687324.82</v>
      </c>
      <c r="U42" s="477">
        <v>810858.29</v>
      </c>
      <c r="V42" s="477"/>
      <c r="W42" s="477">
        <v>708273.19</v>
      </c>
      <c r="X42" s="477">
        <v>810858.29</v>
      </c>
      <c r="Y42" s="477">
        <v>869913.43</v>
      </c>
      <c r="Z42" s="477">
        <v>708273.19</v>
      </c>
      <c r="AA42" s="477">
        <v>655440.23</v>
      </c>
      <c r="AB42" s="477">
        <v>269224.88</v>
      </c>
      <c r="AC42" s="476">
        <f t="shared" si="5"/>
        <v>1240756.219000001</v>
      </c>
      <c r="AD42" s="520"/>
      <c r="AE42" s="476">
        <f t="shared" si="6"/>
        <v>1704887.0090000008</v>
      </c>
      <c r="AF42" s="476">
        <f t="shared" si="7"/>
        <v>9683994.8499999996</v>
      </c>
      <c r="AG42" s="476">
        <f t="shared" si="8"/>
        <v>10148125.639999999</v>
      </c>
      <c r="AH42" s="476">
        <f t="shared" si="4"/>
        <v>1240756.2190000024</v>
      </c>
      <c r="AI42" s="479" t="s">
        <v>415</v>
      </c>
    </row>
    <row r="43" spans="1:35" s="459" customFormat="1" ht="23.25" customHeight="1" x14ac:dyDescent="0.45">
      <c r="A43" s="689" t="s">
        <v>71</v>
      </c>
      <c r="B43" s="474">
        <f>'2015-2016'!AC43</f>
        <v>789072.94</v>
      </c>
      <c r="C43" s="475"/>
      <c r="D43" s="474">
        <f>15494.08</f>
        <v>15494.08</v>
      </c>
      <c r="E43" s="481">
        <v>34087.589999999997</v>
      </c>
      <c r="F43" s="481"/>
      <c r="G43" s="481">
        <v>37141.449999999997</v>
      </c>
      <c r="H43" s="481">
        <v>71229.039999999994</v>
      </c>
      <c r="I43" s="481">
        <v>37446.19</v>
      </c>
      <c r="J43" s="481">
        <v>37446.19</v>
      </c>
      <c r="K43" s="482">
        <v>31004.07</v>
      </c>
      <c r="L43" s="482">
        <f>31004.07</f>
        <v>31004.07</v>
      </c>
      <c r="M43" s="482">
        <v>49062.239999999998</v>
      </c>
      <c r="N43" s="482"/>
      <c r="O43" s="476">
        <v>31092.959999999999</v>
      </c>
      <c r="P43" s="477"/>
      <c r="Q43" s="477">
        <v>36861.96</v>
      </c>
      <c r="R43" s="477"/>
      <c r="S43" s="477">
        <v>36097.800000000003</v>
      </c>
      <c r="T43" s="477"/>
      <c r="U43" s="477">
        <v>68617.2</v>
      </c>
      <c r="V43" s="477"/>
      <c r="W43" s="477">
        <v>59040.38</v>
      </c>
      <c r="X43" s="477"/>
      <c r="Y43" s="477">
        <v>72551.460000000006</v>
      </c>
      <c r="Z43" s="477"/>
      <c r="AA43" s="477">
        <v>40291.89</v>
      </c>
      <c r="AB43" s="477">
        <v>39795.78</v>
      </c>
      <c r="AC43" s="476">
        <f t="shared" si="5"/>
        <v>1206990.5299999996</v>
      </c>
      <c r="AD43" s="520"/>
      <c r="AE43" s="476">
        <f t="shared" si="6"/>
        <v>789072.94</v>
      </c>
      <c r="AF43" s="476">
        <f t="shared" si="7"/>
        <v>573090.97</v>
      </c>
      <c r="AG43" s="476">
        <f t="shared" si="8"/>
        <v>155173.38</v>
      </c>
      <c r="AH43" s="476">
        <f t="shared" si="4"/>
        <v>1206990.5299999998</v>
      </c>
      <c r="AI43" s="479" t="s">
        <v>411</v>
      </c>
    </row>
    <row r="44" spans="1:35" s="459" customFormat="1" ht="23.25" customHeight="1" x14ac:dyDescent="0.45">
      <c r="A44" s="689" t="s">
        <v>88</v>
      </c>
      <c r="B44" s="474">
        <f>'2015-2016'!AC44</f>
        <v>1234295.1499999997</v>
      </c>
      <c r="C44" s="475"/>
      <c r="D44" s="474"/>
      <c r="E44" s="481">
        <v>0</v>
      </c>
      <c r="F44" s="481"/>
      <c r="G44" s="481">
        <v>30900</v>
      </c>
      <c r="H44" s="481"/>
      <c r="I44" s="481">
        <v>15450</v>
      </c>
      <c r="J44" s="481"/>
      <c r="K44" s="482">
        <v>15450</v>
      </c>
      <c r="L44" s="482"/>
      <c r="M44" s="482">
        <v>15450</v>
      </c>
      <c r="N44" s="482"/>
      <c r="O44" s="476">
        <v>15450</v>
      </c>
      <c r="P44" s="477"/>
      <c r="Q44" s="477">
        <v>7698</v>
      </c>
      <c r="R44" s="477"/>
      <c r="S44" s="477">
        <v>7698</v>
      </c>
      <c r="T44" s="477"/>
      <c r="U44" s="477">
        <v>7698</v>
      </c>
      <c r="V44" s="477"/>
      <c r="W44" s="477">
        <v>-1342746</v>
      </c>
      <c r="X44" s="477"/>
      <c r="Y44" s="477">
        <v>7698</v>
      </c>
      <c r="Z44" s="477"/>
      <c r="AA44" s="477">
        <v>7698</v>
      </c>
      <c r="AB44" s="477"/>
      <c r="AC44" s="476">
        <f t="shared" si="5"/>
        <v>22739.149999999674</v>
      </c>
      <c r="AD44" s="520"/>
      <c r="AE44" s="476">
        <f t="shared" si="6"/>
        <v>1234295.1499999997</v>
      </c>
      <c r="AF44" s="476">
        <f t="shared" si="7"/>
        <v>-1211556</v>
      </c>
      <c r="AG44" s="476">
        <f t="shared" si="8"/>
        <v>0</v>
      </c>
      <c r="AH44" s="476">
        <f t="shared" si="4"/>
        <v>22739.149999999674</v>
      </c>
      <c r="AI44" s="479" t="s">
        <v>400</v>
      </c>
    </row>
    <row r="45" spans="1:35" s="459" customFormat="1" ht="23.25" customHeight="1" x14ac:dyDescent="0.45">
      <c r="A45" s="689" t="s">
        <v>336</v>
      </c>
      <c r="B45" s="474">
        <f>'2015-2016'!AC45</f>
        <v>414481.50300000008</v>
      </c>
      <c r="C45" s="475"/>
      <c r="D45" s="474"/>
      <c r="E45" s="481">
        <v>23058.18</v>
      </c>
      <c r="F45" s="481">
        <f>75239.79</f>
        <v>75239.789999999994</v>
      </c>
      <c r="G45" s="481">
        <v>7308.08</v>
      </c>
      <c r="H45" s="481">
        <f>23058.18+15549.67</f>
        <v>38607.85</v>
      </c>
      <c r="I45" s="481">
        <v>36124.36</v>
      </c>
      <c r="J45" s="481"/>
      <c r="K45" s="482">
        <v>29109.71</v>
      </c>
      <c r="L45" s="482"/>
      <c r="M45" s="482">
        <v>38177.42</v>
      </c>
      <c r="N45" s="482">
        <f>36124.36</f>
        <v>36124.36</v>
      </c>
      <c r="O45" s="476">
        <v>38574.74</v>
      </c>
      <c r="P45" s="477">
        <v>29109.71</v>
      </c>
      <c r="Q45" s="477">
        <v>48613.01</v>
      </c>
      <c r="R45" s="477">
        <v>80634.460000000006</v>
      </c>
      <c r="S45" s="477">
        <v>62106.17</v>
      </c>
      <c r="T45" s="477">
        <v>48613.01</v>
      </c>
      <c r="U45" s="477">
        <v>24951.93</v>
      </c>
      <c r="V45" s="477"/>
      <c r="W45" s="477">
        <v>9347.84</v>
      </c>
      <c r="X45" s="477">
        <f>62106.17+24951.93</f>
        <v>87058.1</v>
      </c>
      <c r="Y45" s="477">
        <v>38358.120000000003</v>
      </c>
      <c r="Z45" s="477">
        <f>9347.84</f>
        <v>9347.84</v>
      </c>
      <c r="AA45" s="477">
        <v>24207.17</v>
      </c>
      <c r="AB45" s="477">
        <v>30198.34</v>
      </c>
      <c r="AC45" s="476">
        <f t="shared" si="5"/>
        <v>419881.45300000004</v>
      </c>
      <c r="AD45" s="520"/>
      <c r="AE45" s="476">
        <f t="shared" si="6"/>
        <v>414481.50300000008</v>
      </c>
      <c r="AF45" s="476">
        <f t="shared" si="7"/>
        <v>410135.07</v>
      </c>
      <c r="AG45" s="476">
        <f t="shared" si="8"/>
        <v>404735.12000000005</v>
      </c>
      <c r="AH45" s="476">
        <f t="shared" si="4"/>
        <v>419881.45300000004</v>
      </c>
      <c r="AI45" s="479" t="s">
        <v>411</v>
      </c>
    </row>
    <row r="46" spans="1:35" s="459" customFormat="1" ht="23.25" customHeight="1" x14ac:dyDescent="0.45">
      <c r="A46" s="689" t="s">
        <v>50</v>
      </c>
      <c r="B46" s="474">
        <v>620749.34</v>
      </c>
      <c r="C46" s="475"/>
      <c r="D46" s="474">
        <f>122899.77+25289.36+45388.83</f>
        <v>193577.96000000002</v>
      </c>
      <c r="E46" s="481">
        <v>288752.61</v>
      </c>
      <c r="F46" s="481">
        <f>147146.96+41879.13</f>
        <v>189026.09</v>
      </c>
      <c r="G46" s="481">
        <v>211250.72</v>
      </c>
      <c r="H46" s="481">
        <f>53081.21+145721.54</f>
        <v>198802.75</v>
      </c>
      <c r="I46" s="481">
        <v>200500.34</v>
      </c>
      <c r="J46" s="481">
        <v>188453.91</v>
      </c>
      <c r="K46" s="482">
        <v>215753.61</v>
      </c>
      <c r="L46" s="482"/>
      <c r="M46" s="482">
        <v>397282.03</v>
      </c>
      <c r="N46" s="482">
        <f>145721.54+4007.6+54781.14</f>
        <v>204510.28000000003</v>
      </c>
      <c r="O46" s="476">
        <v>194527.33</v>
      </c>
      <c r="P46" s="477">
        <f>145721.54+61435.76</f>
        <v>207157.30000000002</v>
      </c>
      <c r="Q46" s="477">
        <v>193619.92</v>
      </c>
      <c r="R46" s="477">
        <f>191550.63+196596.62</f>
        <v>388147.25</v>
      </c>
      <c r="S46" s="477">
        <v>117538.58</v>
      </c>
      <c r="T46" s="477">
        <f>195511.79</f>
        <v>195511.79</v>
      </c>
      <c r="U46" s="477">
        <v>186725.37</v>
      </c>
      <c r="V46" s="477"/>
      <c r="W46" s="477">
        <v>163160.32000000001</v>
      </c>
      <c r="X46" s="477">
        <f>41003.83+145721.54+163160.32</f>
        <v>349885.69</v>
      </c>
      <c r="Y46" s="477">
        <v>201658.37</v>
      </c>
      <c r="Z46" s="477">
        <f>201658.37+164152</f>
        <v>365810.37</v>
      </c>
      <c r="AA46" s="477">
        <v>164152</v>
      </c>
      <c r="AB46" s="477">
        <v>27776.49</v>
      </c>
      <c r="AC46" s="476">
        <f t="shared" si="5"/>
        <v>702563.6399999999</v>
      </c>
      <c r="AD46" s="520"/>
      <c r="AE46" s="476">
        <f t="shared" si="6"/>
        <v>620749.34</v>
      </c>
      <c r="AF46" s="476">
        <f t="shared" si="7"/>
        <v>2562697.6900000004</v>
      </c>
      <c r="AG46" s="476">
        <f t="shared" si="8"/>
        <v>2480883.39</v>
      </c>
      <c r="AH46" s="476">
        <f t="shared" si="4"/>
        <v>702563.64000000013</v>
      </c>
      <c r="AI46" s="479" t="s">
        <v>411</v>
      </c>
    </row>
    <row r="47" spans="1:35" s="459" customFormat="1" ht="23.25" customHeight="1" x14ac:dyDescent="0.45">
      <c r="A47" s="689" t="s">
        <v>417</v>
      </c>
      <c r="B47" s="474">
        <v>495113.61</v>
      </c>
      <c r="C47" s="475"/>
      <c r="D47" s="474"/>
      <c r="E47" s="481">
        <v>0</v>
      </c>
      <c r="F47" s="481"/>
      <c r="G47" s="481">
        <v>0</v>
      </c>
      <c r="H47" s="481"/>
      <c r="I47" s="481">
        <v>40122.699999999997</v>
      </c>
      <c r="J47" s="481"/>
      <c r="K47" s="482">
        <v>101287.53</v>
      </c>
      <c r="L47" s="482"/>
      <c r="M47" s="482">
        <v>106692.52</v>
      </c>
      <c r="N47" s="482"/>
      <c r="O47" s="476">
        <v>100051.26</v>
      </c>
      <c r="P47" s="477">
        <f>40122.7+308031.31</f>
        <v>348154.01</v>
      </c>
      <c r="Q47" s="477">
        <v>0</v>
      </c>
      <c r="R47" s="477">
        <f>71744.9</f>
        <v>71744.899999999994</v>
      </c>
      <c r="S47" s="477">
        <v>0</v>
      </c>
      <c r="T47" s="477">
        <v>69940</v>
      </c>
      <c r="U47" s="477">
        <v>301859.34000000003</v>
      </c>
      <c r="V47" s="477">
        <f>151302.34</f>
        <v>151302.34</v>
      </c>
      <c r="W47" s="477">
        <v>100850.2</v>
      </c>
      <c r="X47" s="477">
        <f>100850.2</f>
        <v>100850.2</v>
      </c>
      <c r="Y47" s="477">
        <v>103416.27</v>
      </c>
      <c r="Z47" s="477">
        <f>103415.64+69940</f>
        <v>173355.64</v>
      </c>
      <c r="AA47" s="477">
        <v>69940</v>
      </c>
      <c r="AB47" s="477">
        <v>36162.230000000003</v>
      </c>
      <c r="AC47" s="476">
        <f t="shared" si="5"/>
        <v>540148.56999999995</v>
      </c>
      <c r="AD47" s="520"/>
      <c r="AE47" s="476">
        <f t="shared" si="6"/>
        <v>495113.61</v>
      </c>
      <c r="AF47" s="476">
        <f t="shared" si="7"/>
        <v>960382.05</v>
      </c>
      <c r="AG47" s="476">
        <f t="shared" si="8"/>
        <v>915347.09</v>
      </c>
      <c r="AH47" s="476">
        <f t="shared" si="4"/>
        <v>540148.57000000018</v>
      </c>
      <c r="AI47" s="479" t="s">
        <v>418</v>
      </c>
    </row>
    <row r="48" spans="1:35" s="459" customFormat="1" ht="23.25" customHeight="1" x14ac:dyDescent="0.45">
      <c r="A48" s="689" t="s">
        <v>46</v>
      </c>
      <c r="B48" s="474">
        <f>'2015-2016'!AC48</f>
        <v>265249.67999999993</v>
      </c>
      <c r="C48" s="475"/>
      <c r="D48" s="474">
        <v>108434.6</v>
      </c>
      <c r="E48" s="481">
        <v>119485.21</v>
      </c>
      <c r="F48" s="481">
        <v>0</v>
      </c>
      <c r="G48" s="481">
        <v>91257.8</v>
      </c>
      <c r="H48" s="481"/>
      <c r="I48" s="481">
        <v>82486.97</v>
      </c>
      <c r="J48" s="481">
        <f>111474.91+84582.55+82486.97</f>
        <v>278544.43000000005</v>
      </c>
      <c r="K48" s="482">
        <v>84915.48</v>
      </c>
      <c r="L48" s="482">
        <v>84915.48</v>
      </c>
      <c r="M48" s="482">
        <v>169896.02</v>
      </c>
      <c r="N48" s="482"/>
      <c r="O48" s="476">
        <v>86611.46</v>
      </c>
      <c r="P48" s="477">
        <v>86611.46</v>
      </c>
      <c r="Q48" s="477">
        <v>85883.61</v>
      </c>
      <c r="R48" s="477">
        <v>155630.06</v>
      </c>
      <c r="S48" s="477">
        <v>105069.85</v>
      </c>
      <c r="T48" s="477">
        <v>86311.69</v>
      </c>
      <c r="U48" s="477">
        <v>109985.85</v>
      </c>
      <c r="V48" s="477">
        <f>105069.85+109985.85</f>
        <v>215055.7</v>
      </c>
      <c r="W48" s="477">
        <v>104878.36</v>
      </c>
      <c r="X48" s="477">
        <f>104878.36</f>
        <v>104878.36</v>
      </c>
      <c r="Y48" s="477">
        <v>143324</v>
      </c>
      <c r="Z48" s="528">
        <v>169573.64</v>
      </c>
      <c r="AA48" s="477">
        <v>38461.96</v>
      </c>
      <c r="AB48" s="477">
        <v>63198.5</v>
      </c>
      <c r="AC48" s="476">
        <f t="shared" si="5"/>
        <v>260749.32999999993</v>
      </c>
      <c r="AD48" s="520"/>
      <c r="AE48" s="476">
        <f t="shared" si="6"/>
        <v>265249.67999999993</v>
      </c>
      <c r="AF48" s="476">
        <f t="shared" si="7"/>
        <v>1285455.0699999998</v>
      </c>
      <c r="AG48" s="476">
        <f t="shared" si="8"/>
        <v>1289955.42</v>
      </c>
      <c r="AH48" s="476">
        <f t="shared" si="4"/>
        <v>260749.32999999984</v>
      </c>
      <c r="AI48" s="479" t="s">
        <v>419</v>
      </c>
    </row>
    <row r="49" spans="1:35" s="459" customFormat="1" ht="23.25" customHeight="1" x14ac:dyDescent="0.45">
      <c r="A49" s="689" t="s">
        <v>59</v>
      </c>
      <c r="B49" s="474">
        <f>'2015-2016'!AC49</f>
        <v>272255.7</v>
      </c>
      <c r="C49" s="475"/>
      <c r="D49" s="474">
        <v>191958.74</v>
      </c>
      <c r="E49" s="481">
        <v>194087.47</v>
      </c>
      <c r="F49" s="481">
        <v>194087.47</v>
      </c>
      <c r="G49" s="481">
        <v>170888.48</v>
      </c>
      <c r="H49" s="481"/>
      <c r="I49" s="481">
        <v>165809.15</v>
      </c>
      <c r="J49" s="481">
        <f>170888.48+165809.15</f>
        <v>336697.63</v>
      </c>
      <c r="K49" s="482">
        <v>156804.16</v>
      </c>
      <c r="L49" s="482">
        <f>156804.16</f>
        <v>156804.16</v>
      </c>
      <c r="M49" s="482">
        <v>182111.99</v>
      </c>
      <c r="N49" s="482"/>
      <c r="O49" s="476">
        <v>176074.04</v>
      </c>
      <c r="P49" s="477"/>
      <c r="Q49" s="477">
        <v>186022.2</v>
      </c>
      <c r="R49" s="477">
        <f>182111.99+176074.04+186022.2</f>
        <v>544208.23</v>
      </c>
      <c r="S49" s="477">
        <v>137309.96</v>
      </c>
      <c r="T49" s="477">
        <v>137309.96</v>
      </c>
      <c r="U49" s="477">
        <v>152254.01999999999</v>
      </c>
      <c r="V49" s="477">
        <v>152254.01999999999</v>
      </c>
      <c r="W49" s="477">
        <v>145696.09</v>
      </c>
      <c r="X49" s="477">
        <v>145696.09</v>
      </c>
      <c r="Y49" s="477">
        <v>110851.21</v>
      </c>
      <c r="Z49" s="477"/>
      <c r="AA49" s="477">
        <v>36502.31</v>
      </c>
      <c r="AB49" s="477">
        <v>7202.74</v>
      </c>
      <c r="AC49" s="476">
        <f t="shared" si="5"/>
        <v>234853.2200000002</v>
      </c>
      <c r="AD49" s="520"/>
      <c r="AE49" s="476">
        <f t="shared" si="6"/>
        <v>272255.7</v>
      </c>
      <c r="AF49" s="476">
        <f t="shared" si="7"/>
        <v>1821613.82</v>
      </c>
      <c r="AG49" s="476">
        <f t="shared" si="8"/>
        <v>1859016.3</v>
      </c>
      <c r="AH49" s="476">
        <f t="shared" si="4"/>
        <v>234853.21999999997</v>
      </c>
      <c r="AI49" s="479" t="s">
        <v>420</v>
      </c>
    </row>
    <row r="50" spans="1:35" s="459" customFormat="1" ht="23.25" customHeight="1" x14ac:dyDescent="0.45">
      <c r="A50" s="689" t="s">
        <v>365</v>
      </c>
      <c r="B50" s="474">
        <v>373080.6</v>
      </c>
      <c r="C50" s="475"/>
      <c r="D50" s="474"/>
      <c r="E50" s="481">
        <v>166738.20000000001</v>
      </c>
      <c r="F50" s="481">
        <v>167092.29</v>
      </c>
      <c r="G50" s="481">
        <v>170890.97</v>
      </c>
      <c r="H50" s="481">
        <f>170890.97+166738.2</f>
        <v>337629.17000000004</v>
      </c>
      <c r="I50" s="481">
        <v>174710.72</v>
      </c>
      <c r="J50" s="481">
        <f>174710.72</f>
        <v>174710.72</v>
      </c>
      <c r="K50" s="482">
        <v>184273.5</v>
      </c>
      <c r="L50" s="482">
        <v>184273.5</v>
      </c>
      <c r="M50" s="482">
        <v>190175.27</v>
      </c>
      <c r="N50" s="482"/>
      <c r="O50" s="476">
        <v>190578.85</v>
      </c>
      <c r="P50" s="477"/>
      <c r="Q50" s="477">
        <v>169669.16</v>
      </c>
      <c r="R50" s="477">
        <f>190175.27+190578.85+169669.16</f>
        <v>550423.28</v>
      </c>
      <c r="S50" s="477">
        <v>149284.64000000001</v>
      </c>
      <c r="T50" s="477">
        <f>149284.64</f>
        <v>149284.64000000001</v>
      </c>
      <c r="U50" s="477">
        <v>167884.51</v>
      </c>
      <c r="V50" s="477">
        <f>167884.51</f>
        <v>167884.51</v>
      </c>
      <c r="W50" s="477">
        <v>154952.97</v>
      </c>
      <c r="X50" s="477">
        <f>154952.97</f>
        <v>154952.97</v>
      </c>
      <c r="Y50" s="477">
        <v>153918.19</v>
      </c>
      <c r="Z50" s="528">
        <v>288703.19</v>
      </c>
      <c r="AA50" s="477">
        <v>134785</v>
      </c>
      <c r="AB50" s="477">
        <v>41137.230000000003</v>
      </c>
      <c r="AC50" s="476">
        <f t="shared" si="5"/>
        <v>247125.53999999989</v>
      </c>
      <c r="AD50" s="520"/>
      <c r="AE50" s="476">
        <f t="shared" si="6"/>
        <v>373080.6</v>
      </c>
      <c r="AF50" s="476">
        <f t="shared" si="7"/>
        <v>2048999.21</v>
      </c>
      <c r="AG50" s="476">
        <f t="shared" si="8"/>
        <v>2174954.27</v>
      </c>
      <c r="AH50" s="476">
        <f t="shared" si="4"/>
        <v>247125.54000000004</v>
      </c>
      <c r="AI50" s="479" t="s">
        <v>418</v>
      </c>
    </row>
    <row r="51" spans="1:35" s="459" customFormat="1" ht="23.25" customHeight="1" x14ac:dyDescent="0.45">
      <c r="A51" s="689" t="s">
        <v>82</v>
      </c>
      <c r="B51" s="474">
        <f>'2015-2016'!AC51</f>
        <v>1355485.1000000003</v>
      </c>
      <c r="C51" s="475"/>
      <c r="D51" s="474"/>
      <c r="E51" s="481">
        <v>69747.600000000006</v>
      </c>
      <c r="F51" s="481"/>
      <c r="G51" s="481">
        <v>52686.87</v>
      </c>
      <c r="H51" s="481"/>
      <c r="I51" s="481">
        <v>0</v>
      </c>
      <c r="J51" s="481"/>
      <c r="K51" s="482">
        <v>0</v>
      </c>
      <c r="L51" s="482"/>
      <c r="M51" s="482">
        <v>-293079.67</v>
      </c>
      <c r="N51" s="482"/>
      <c r="O51" s="476">
        <v>0</v>
      </c>
      <c r="P51" s="477"/>
      <c r="Q51" s="477">
        <v>0</v>
      </c>
      <c r="R51" s="477"/>
      <c r="S51" s="477">
        <v>23932.76</v>
      </c>
      <c r="T51" s="477"/>
      <c r="U51" s="477">
        <v>0</v>
      </c>
      <c r="V51" s="477"/>
      <c r="W51" s="477">
        <v>0</v>
      </c>
      <c r="X51" s="477"/>
      <c r="Y51" s="477">
        <v>0</v>
      </c>
      <c r="Z51" s="477"/>
      <c r="AA51" s="477"/>
      <c r="AB51" s="477"/>
      <c r="AC51" s="476">
        <f t="shared" si="5"/>
        <v>1208772.6600000006</v>
      </c>
      <c r="AD51" s="520"/>
      <c r="AE51" s="476">
        <f t="shared" si="6"/>
        <v>1355485.1000000003</v>
      </c>
      <c r="AF51" s="476">
        <f t="shared" si="7"/>
        <v>-146712.43999999997</v>
      </c>
      <c r="AG51" s="476">
        <f t="shared" si="8"/>
        <v>0</v>
      </c>
      <c r="AH51" s="476">
        <f t="shared" si="4"/>
        <v>1208772.6600000004</v>
      </c>
      <c r="AI51" s="479" t="s">
        <v>411</v>
      </c>
    </row>
    <row r="52" spans="1:35" s="459" customFormat="1" ht="23.25" customHeight="1" x14ac:dyDescent="0.45">
      <c r="A52" s="689" t="s">
        <v>75</v>
      </c>
      <c r="B52" s="474">
        <v>1969411.02</v>
      </c>
      <c r="C52" s="475"/>
      <c r="D52" s="474">
        <f>408480.27+579224.39</f>
        <v>987704.66</v>
      </c>
      <c r="E52" s="481">
        <v>190899.27</v>
      </c>
      <c r="F52" s="481"/>
      <c r="G52" s="481">
        <v>203845.52</v>
      </c>
      <c r="H52" s="481">
        <f>190899.27</f>
        <v>190899.27</v>
      </c>
      <c r="I52" s="481">
        <v>178532.62</v>
      </c>
      <c r="J52" s="481">
        <f>182011.2+178532.62</f>
        <v>360543.82</v>
      </c>
      <c r="K52" s="482">
        <v>179227.74</v>
      </c>
      <c r="L52" s="482"/>
      <c r="M52" s="482">
        <v>236822.59</v>
      </c>
      <c r="N52" s="482">
        <f>179227.74</f>
        <v>179227.74</v>
      </c>
      <c r="O52" s="476">
        <v>204441.18</v>
      </c>
      <c r="P52" s="477"/>
      <c r="Q52" s="477">
        <v>285325.08</v>
      </c>
      <c r="R52" s="477">
        <v>441263.77</v>
      </c>
      <c r="S52" s="477">
        <v>240714.89</v>
      </c>
      <c r="T52" s="477">
        <f>285325.08+240714.89</f>
        <v>526039.97</v>
      </c>
      <c r="U52" s="477">
        <v>243280.87</v>
      </c>
      <c r="V52" s="477"/>
      <c r="W52" s="477">
        <v>221771.31</v>
      </c>
      <c r="X52" s="477"/>
      <c r="Y52" s="477">
        <v>214848.58</v>
      </c>
      <c r="Z52" s="477"/>
      <c r="AA52" s="477">
        <v>99885.19</v>
      </c>
      <c r="AB52" s="477">
        <v>139202.26</v>
      </c>
      <c r="AC52" s="476">
        <f t="shared" si="5"/>
        <v>1922528.89</v>
      </c>
      <c r="AD52" s="520"/>
      <c r="AE52" s="476">
        <f t="shared" si="6"/>
        <v>1969411.02</v>
      </c>
      <c r="AF52" s="476">
        <f t="shared" si="7"/>
        <v>2638797.1000000006</v>
      </c>
      <c r="AG52" s="476">
        <f t="shared" si="8"/>
        <v>2685679.2299999995</v>
      </c>
      <c r="AH52" s="476">
        <f t="shared" si="4"/>
        <v>1922528.8900000015</v>
      </c>
      <c r="AI52" s="479" t="s">
        <v>421</v>
      </c>
    </row>
    <row r="53" spans="1:35" s="459" customFormat="1" ht="23.25" customHeight="1" x14ac:dyDescent="0.45">
      <c r="A53" s="689" t="s">
        <v>84</v>
      </c>
      <c r="B53" s="474">
        <f>'2015-2016'!AC53</f>
        <v>25048.97000000038</v>
      </c>
      <c r="C53" s="475"/>
      <c r="D53" s="474"/>
      <c r="E53" s="481">
        <v>0</v>
      </c>
      <c r="F53" s="481"/>
      <c r="G53" s="481">
        <v>0</v>
      </c>
      <c r="H53" s="481"/>
      <c r="I53" s="481">
        <v>0</v>
      </c>
      <c r="J53" s="481"/>
      <c r="K53" s="482">
        <v>0</v>
      </c>
      <c r="L53" s="482"/>
      <c r="M53" s="482">
        <v>0</v>
      </c>
      <c r="N53" s="482"/>
      <c r="O53" s="476">
        <v>0</v>
      </c>
      <c r="P53" s="477"/>
      <c r="Q53" s="477">
        <v>0</v>
      </c>
      <c r="R53" s="477"/>
      <c r="S53" s="477">
        <v>0</v>
      </c>
      <c r="T53" s="477"/>
      <c r="U53" s="477">
        <v>0</v>
      </c>
      <c r="V53" s="477"/>
      <c r="W53" s="477">
        <v>-31008</v>
      </c>
      <c r="X53" s="477"/>
      <c r="Y53" s="477">
        <v>0</v>
      </c>
      <c r="Z53" s="477"/>
      <c r="AA53" s="477"/>
      <c r="AB53" s="477"/>
      <c r="AC53" s="476">
        <f t="shared" si="5"/>
        <v>-5959.0299999996205</v>
      </c>
      <c r="AD53" s="520"/>
      <c r="AE53" s="476">
        <f t="shared" si="6"/>
        <v>25048.97000000038</v>
      </c>
      <c r="AF53" s="476">
        <f t="shared" si="7"/>
        <v>-31008</v>
      </c>
      <c r="AG53" s="476">
        <f t="shared" si="8"/>
        <v>0</v>
      </c>
      <c r="AH53" s="476">
        <f t="shared" si="4"/>
        <v>-5959.0299999996205</v>
      </c>
      <c r="AI53" s="479" t="s">
        <v>400</v>
      </c>
    </row>
    <row r="54" spans="1:35" s="459" customFormat="1" ht="23.25" customHeight="1" x14ac:dyDescent="0.45">
      <c r="A54" s="689" t="s">
        <v>68</v>
      </c>
      <c r="B54" s="474">
        <f>'2015-2016'!AC54</f>
        <v>18699.929999999244</v>
      </c>
      <c r="C54" s="475"/>
      <c r="D54" s="474">
        <v>41737.74</v>
      </c>
      <c r="E54" s="481">
        <v>139710.04999999999</v>
      </c>
      <c r="F54" s="481">
        <f>139710.05</f>
        <v>139710.04999999999</v>
      </c>
      <c r="G54" s="481">
        <v>151787.13</v>
      </c>
      <c r="H54" s="481"/>
      <c r="I54" s="481">
        <v>173742.41</v>
      </c>
      <c r="J54" s="481">
        <v>151787.13</v>
      </c>
      <c r="K54" s="482">
        <v>157834.01</v>
      </c>
      <c r="L54" s="482">
        <f>173742.41+157834.01</f>
        <v>331576.42000000004</v>
      </c>
      <c r="M54" s="482">
        <v>152400.03</v>
      </c>
      <c r="N54" s="482">
        <v>152400.03</v>
      </c>
      <c r="O54" s="476">
        <v>153645.51999999999</v>
      </c>
      <c r="P54" s="477">
        <v>153645.51999999999</v>
      </c>
      <c r="Q54" s="477">
        <v>157792.4</v>
      </c>
      <c r="R54" s="477">
        <f>157792.4</f>
        <v>157792.4</v>
      </c>
      <c r="S54" s="477">
        <v>161534.25</v>
      </c>
      <c r="T54" s="477">
        <v>161534.25</v>
      </c>
      <c r="U54" s="477">
        <v>162299.23000000001</v>
      </c>
      <c r="V54" s="477">
        <f>162299.23</f>
        <v>162299.23000000001</v>
      </c>
      <c r="W54" s="477">
        <v>155686.44</v>
      </c>
      <c r="X54" s="477">
        <f>155686.44</f>
        <v>155686.44</v>
      </c>
      <c r="Y54" s="477">
        <v>159341.07999999999</v>
      </c>
      <c r="Z54" s="528">
        <v>280410.83999999997</v>
      </c>
      <c r="AA54" s="477">
        <v>121069.75999999999</v>
      </c>
      <c r="AB54" s="477">
        <v>52018.11</v>
      </c>
      <c r="AC54" s="476">
        <f t="shared" si="5"/>
        <v>28980.299999999261</v>
      </c>
      <c r="AD54" s="520"/>
      <c r="AE54" s="476">
        <f t="shared" si="6"/>
        <v>18699.929999999244</v>
      </c>
      <c r="AF54" s="476">
        <f t="shared" si="7"/>
        <v>1898860.4200000002</v>
      </c>
      <c r="AG54" s="476">
        <f t="shared" si="8"/>
        <v>1888580.0499999998</v>
      </c>
      <c r="AH54" s="476">
        <f t="shared" si="4"/>
        <v>28980.299999999581</v>
      </c>
      <c r="AI54" s="479" t="s">
        <v>391</v>
      </c>
    </row>
    <row r="55" spans="1:35" s="459" customFormat="1" ht="23.25" customHeight="1" x14ac:dyDescent="0.45">
      <c r="A55" s="689" t="s">
        <v>51</v>
      </c>
      <c r="B55" s="474">
        <f>'2015-2016'!AC55</f>
        <v>523776</v>
      </c>
      <c r="C55" s="475"/>
      <c r="D55" s="474">
        <v>474672</v>
      </c>
      <c r="E55" s="481">
        <v>237336</v>
      </c>
      <c r="F55" s="481">
        <f>237336</f>
        <v>237336</v>
      </c>
      <c r="G55" s="481">
        <v>237336</v>
      </c>
      <c r="H55" s="481"/>
      <c r="I55" s="481">
        <v>652550.97</v>
      </c>
      <c r="J55" s="481">
        <f>237336</f>
        <v>237336</v>
      </c>
      <c r="K55" s="482">
        <v>246622.91</v>
      </c>
      <c r="L55" s="482">
        <v>237336</v>
      </c>
      <c r="M55" s="482">
        <v>246622.91</v>
      </c>
      <c r="N55" s="482"/>
      <c r="O55" s="476">
        <v>246323.34</v>
      </c>
      <c r="P55" s="477"/>
      <c r="Q55" s="477">
        <v>238438.91</v>
      </c>
      <c r="R55" s="477"/>
      <c r="S55" s="477">
        <v>238139.34</v>
      </c>
      <c r="T55" s="477"/>
      <c r="U55" s="477">
        <v>238438.91</v>
      </c>
      <c r="V55" s="477"/>
      <c r="W55" s="477">
        <v>238438.91</v>
      </c>
      <c r="X55" s="477">
        <f>474672+466488+458304</f>
        <v>1399464</v>
      </c>
      <c r="Y55" s="477">
        <v>237540.18</v>
      </c>
      <c r="Z55" s="477"/>
      <c r="AA55" s="477">
        <v>233645.67</v>
      </c>
      <c r="AB55" s="477">
        <v>4793.25</v>
      </c>
      <c r="AC55" s="476">
        <f t="shared" si="5"/>
        <v>1233859.3</v>
      </c>
      <c r="AD55" s="520"/>
      <c r="AE55" s="476">
        <f t="shared" si="6"/>
        <v>523776</v>
      </c>
      <c r="AF55" s="476">
        <f t="shared" si="7"/>
        <v>3296227.3000000003</v>
      </c>
      <c r="AG55" s="476">
        <f t="shared" si="8"/>
        <v>2586144</v>
      </c>
      <c r="AH55" s="476">
        <f t="shared" si="4"/>
        <v>1233859.3000000003</v>
      </c>
      <c r="AI55" s="479" t="s">
        <v>411</v>
      </c>
    </row>
    <row r="56" spans="1:35" s="459" customFormat="1" ht="23.25" customHeight="1" x14ac:dyDescent="0.45">
      <c r="A56" s="689" t="s">
        <v>366</v>
      </c>
      <c r="B56" s="474">
        <v>143069.35999999999</v>
      </c>
      <c r="C56" s="475"/>
      <c r="D56" s="474"/>
      <c r="E56" s="481">
        <v>107308.84</v>
      </c>
      <c r="F56" s="481"/>
      <c r="G56" s="481">
        <v>102331.89</v>
      </c>
      <c r="H56" s="481">
        <v>143130.32</v>
      </c>
      <c r="I56" s="481">
        <v>98717.24</v>
      </c>
      <c r="J56" s="481">
        <f>102331.89+181286.17</f>
        <v>283618.06</v>
      </c>
      <c r="K56" s="482">
        <v>99567.47</v>
      </c>
      <c r="L56" s="482">
        <v>99567.47</v>
      </c>
      <c r="M56" s="482">
        <v>-11193.52</v>
      </c>
      <c r="N56" s="482"/>
      <c r="O56" s="476">
        <v>99708.69</v>
      </c>
      <c r="P56" s="477"/>
      <c r="Q56" s="477">
        <v>88848.4</v>
      </c>
      <c r="R56" s="477">
        <f>88848.4</f>
        <v>88848.4</v>
      </c>
      <c r="S56" s="477">
        <v>100319.41</v>
      </c>
      <c r="T56" s="477">
        <v>100319.41</v>
      </c>
      <c r="U56" s="477">
        <v>93489.96</v>
      </c>
      <c r="V56" s="477"/>
      <c r="W56" s="477">
        <v>88479.39</v>
      </c>
      <c r="X56" s="477">
        <v>88479.39</v>
      </c>
      <c r="Y56" s="477">
        <v>104529.85</v>
      </c>
      <c r="Z56" s="477">
        <v>74262.289999999994</v>
      </c>
      <c r="AA56" s="477">
        <v>74262.289999999994</v>
      </c>
      <c r="AB56" s="477">
        <v>35087.019999999997</v>
      </c>
      <c r="AC56" s="476">
        <f t="shared" si="5"/>
        <v>346300.94999999995</v>
      </c>
      <c r="AD56" s="520"/>
      <c r="AE56" s="476">
        <f t="shared" si="6"/>
        <v>143069.35999999999</v>
      </c>
      <c r="AF56" s="476">
        <f t="shared" si="7"/>
        <v>1081456.93</v>
      </c>
      <c r="AG56" s="476">
        <f t="shared" si="8"/>
        <v>878225.34000000008</v>
      </c>
      <c r="AH56" s="476">
        <f t="shared" si="4"/>
        <v>346300.94999999995</v>
      </c>
      <c r="AI56" s="479" t="s">
        <v>391</v>
      </c>
    </row>
    <row r="57" spans="1:35" s="459" customFormat="1" ht="23.25" customHeight="1" x14ac:dyDescent="0.45">
      <c r="A57" s="689" t="s">
        <v>77</v>
      </c>
      <c r="B57" s="474">
        <f>'2015-2016'!AC57</f>
        <v>1312485.0299999998</v>
      </c>
      <c r="C57" s="475"/>
      <c r="D57" s="474"/>
      <c r="E57" s="481">
        <v>0</v>
      </c>
      <c r="F57" s="481"/>
      <c r="G57" s="481">
        <v>0</v>
      </c>
      <c r="H57" s="481"/>
      <c r="I57" s="481">
        <v>0</v>
      </c>
      <c r="J57" s="481"/>
      <c r="K57" s="482">
        <v>0</v>
      </c>
      <c r="L57" s="482"/>
      <c r="M57" s="482">
        <v>-615925.15</v>
      </c>
      <c r="N57" s="482"/>
      <c r="O57" s="476">
        <v>0</v>
      </c>
      <c r="P57" s="477"/>
      <c r="Q57" s="477">
        <v>0</v>
      </c>
      <c r="R57" s="477"/>
      <c r="S57" s="477">
        <v>0</v>
      </c>
      <c r="T57" s="477"/>
      <c r="U57" s="477">
        <v>0</v>
      </c>
      <c r="V57" s="477"/>
      <c r="W57" s="477">
        <v>0</v>
      </c>
      <c r="X57" s="477"/>
      <c r="Y57" s="477">
        <v>0</v>
      </c>
      <c r="Z57" s="477"/>
      <c r="AA57" s="477"/>
      <c r="AB57" s="477">
        <v>7315.03</v>
      </c>
      <c r="AC57" s="476">
        <f t="shared" si="5"/>
        <v>703874.9099999998</v>
      </c>
      <c r="AD57" s="520"/>
      <c r="AE57" s="476">
        <f t="shared" si="6"/>
        <v>1312485.0299999998</v>
      </c>
      <c r="AF57" s="476">
        <f t="shared" si="7"/>
        <v>-608610.12</v>
      </c>
      <c r="AG57" s="476">
        <f t="shared" si="8"/>
        <v>0</v>
      </c>
      <c r="AH57" s="476">
        <f t="shared" si="4"/>
        <v>703874.9099999998</v>
      </c>
      <c r="AI57" s="479" t="s">
        <v>422</v>
      </c>
    </row>
    <row r="58" spans="1:35" s="459" customFormat="1" ht="23.25" customHeight="1" x14ac:dyDescent="0.45">
      <c r="A58" s="689" t="s">
        <v>56</v>
      </c>
      <c r="B58" s="474">
        <f>'2015-2016'!AC58</f>
        <v>762380.47</v>
      </c>
      <c r="C58" s="475"/>
      <c r="D58" s="474"/>
      <c r="E58" s="481">
        <v>36440</v>
      </c>
      <c r="F58" s="481"/>
      <c r="G58" s="481">
        <v>36440</v>
      </c>
      <c r="H58" s="481"/>
      <c r="I58" s="481">
        <v>36440</v>
      </c>
      <c r="J58" s="481"/>
      <c r="K58" s="482">
        <v>36440</v>
      </c>
      <c r="L58" s="482">
        <v>109320</v>
      </c>
      <c r="M58" s="482">
        <v>-11966.38</v>
      </c>
      <c r="N58" s="482"/>
      <c r="O58" s="476">
        <v>36440</v>
      </c>
      <c r="P58" s="477"/>
      <c r="Q58" s="477">
        <v>36440</v>
      </c>
      <c r="R58" s="477"/>
      <c r="S58" s="477">
        <v>36440</v>
      </c>
      <c r="T58" s="477"/>
      <c r="U58" s="477">
        <v>36440</v>
      </c>
      <c r="V58" s="477"/>
      <c r="W58" s="477">
        <v>36440</v>
      </c>
      <c r="X58" s="477"/>
      <c r="Y58" s="477">
        <v>36440</v>
      </c>
      <c r="Z58" s="477"/>
      <c r="AA58" s="477">
        <v>36440</v>
      </c>
      <c r="AB58" s="477"/>
      <c r="AC58" s="476">
        <f t="shared" si="5"/>
        <v>1041934.09</v>
      </c>
      <c r="AD58" s="520"/>
      <c r="AE58" s="476">
        <f t="shared" si="6"/>
        <v>762380.47</v>
      </c>
      <c r="AF58" s="476">
        <f t="shared" si="7"/>
        <v>388873.62</v>
      </c>
      <c r="AG58" s="476">
        <f t="shared" si="8"/>
        <v>109320</v>
      </c>
      <c r="AH58" s="476">
        <f t="shared" si="4"/>
        <v>1041934.0899999999</v>
      </c>
      <c r="AI58" s="479" t="s">
        <v>423</v>
      </c>
    </row>
    <row r="59" spans="1:35" s="459" customFormat="1" ht="23.25" customHeight="1" x14ac:dyDescent="0.45">
      <c r="A59" s="689" t="s">
        <v>66</v>
      </c>
      <c r="B59" s="474">
        <f>'2015-2016'!AC59</f>
        <v>45438.360000000044</v>
      </c>
      <c r="C59" s="475"/>
      <c r="D59" s="474">
        <v>39515.08</v>
      </c>
      <c r="E59" s="481">
        <v>115439.47</v>
      </c>
      <c r="F59" s="481">
        <v>115439.47</v>
      </c>
      <c r="G59" s="481">
        <v>187295.75</v>
      </c>
      <c r="H59" s="481">
        <v>187295.75</v>
      </c>
      <c r="I59" s="481">
        <v>172431.91</v>
      </c>
      <c r="J59" s="481"/>
      <c r="K59" s="482">
        <v>149195.24</v>
      </c>
      <c r="L59" s="482">
        <f>172431.91+149195.24</f>
        <v>321627.15000000002</v>
      </c>
      <c r="M59" s="482">
        <v>171724.25</v>
      </c>
      <c r="N59" s="482"/>
      <c r="O59" s="476">
        <v>175331.49</v>
      </c>
      <c r="P59" s="477">
        <v>347055.74</v>
      </c>
      <c r="Q59" s="477">
        <v>205294.81</v>
      </c>
      <c r="R59" s="477">
        <v>205294.81</v>
      </c>
      <c r="S59" s="477">
        <v>234012.75</v>
      </c>
      <c r="T59" s="477"/>
      <c r="U59" s="477">
        <v>143731.74</v>
      </c>
      <c r="V59" s="477">
        <f>234012.75</f>
        <v>234012.75</v>
      </c>
      <c r="W59" s="477">
        <v>124295.34</v>
      </c>
      <c r="X59" s="477">
        <f>143731.74</f>
        <v>143731.74</v>
      </c>
      <c r="Y59" s="477">
        <v>168029.23</v>
      </c>
      <c r="Z59" s="528">
        <v>413389.78</v>
      </c>
      <c r="AA59" s="477">
        <v>121065.21</v>
      </c>
      <c r="AB59" s="477">
        <v>74380.03</v>
      </c>
      <c r="AC59" s="476">
        <f t="shared" si="5"/>
        <v>80303.309999999954</v>
      </c>
      <c r="AD59" s="520"/>
      <c r="AE59" s="476">
        <f t="shared" si="6"/>
        <v>45438.360000000044</v>
      </c>
      <c r="AF59" s="476">
        <f t="shared" si="7"/>
        <v>2042227.22</v>
      </c>
      <c r="AG59" s="476">
        <f t="shared" si="8"/>
        <v>2007362.27</v>
      </c>
      <c r="AH59" s="476">
        <f t="shared" si="4"/>
        <v>80303.310000000056</v>
      </c>
      <c r="AI59" s="479" t="s">
        <v>419</v>
      </c>
    </row>
    <row r="60" spans="1:35" s="459" customFormat="1" ht="23.25" customHeight="1" x14ac:dyDescent="0.45">
      <c r="A60" s="689" t="s">
        <v>367</v>
      </c>
      <c r="B60" s="474">
        <f>'2015-2016'!AC60</f>
        <v>378454.5999999998</v>
      </c>
      <c r="C60" s="475"/>
      <c r="D60" s="474">
        <v>104016.04</v>
      </c>
      <c r="E60" s="481">
        <v>89476.17</v>
      </c>
      <c r="F60" s="481"/>
      <c r="G60" s="481">
        <v>110707.23</v>
      </c>
      <c r="H60" s="481">
        <v>200183.4</v>
      </c>
      <c r="I60" s="481">
        <v>102438.22</v>
      </c>
      <c r="J60" s="481">
        <v>102438.22</v>
      </c>
      <c r="K60" s="482">
        <v>112553.8</v>
      </c>
      <c r="L60" s="482">
        <v>112553.8</v>
      </c>
      <c r="M60" s="482">
        <v>64370.1</v>
      </c>
      <c r="N60" s="482"/>
      <c r="O60" s="476">
        <v>106981.56</v>
      </c>
      <c r="P60" s="477">
        <f>64370.1</f>
        <v>64370.1</v>
      </c>
      <c r="Q60" s="477">
        <v>97352.87</v>
      </c>
      <c r="R60" s="477">
        <f>106981.56+97352.87</f>
        <v>204334.43</v>
      </c>
      <c r="S60" s="477">
        <v>98498.240000000005</v>
      </c>
      <c r="T60" s="477">
        <v>98498.240000000005</v>
      </c>
      <c r="U60" s="477">
        <v>90583.07</v>
      </c>
      <c r="V60" s="477">
        <v>90583.07</v>
      </c>
      <c r="W60" s="477">
        <v>80251.38</v>
      </c>
      <c r="X60" s="477">
        <v>80251.38</v>
      </c>
      <c r="Y60" s="477">
        <v>91414.92</v>
      </c>
      <c r="Z60" s="477">
        <f>91414.92+150125</f>
        <v>241539.91999999998</v>
      </c>
      <c r="AA60" s="477">
        <v>150125</v>
      </c>
      <c r="AB60" s="477">
        <v>11930.54</v>
      </c>
      <c r="AC60" s="476">
        <f t="shared" si="5"/>
        <v>286369.0999999998</v>
      </c>
      <c r="AD60" s="520"/>
      <c r="AE60" s="476">
        <f t="shared" si="6"/>
        <v>378454.5999999998</v>
      </c>
      <c r="AF60" s="476">
        <f t="shared" si="7"/>
        <v>1206683.1000000001</v>
      </c>
      <c r="AG60" s="476">
        <f t="shared" si="8"/>
        <v>1298768.6000000001</v>
      </c>
      <c r="AH60" s="476">
        <f t="shared" si="4"/>
        <v>286369.09999999986</v>
      </c>
      <c r="AI60" s="479" t="s">
        <v>391</v>
      </c>
    </row>
    <row r="61" spans="1:35" s="459" customFormat="1" ht="23.25" customHeight="1" x14ac:dyDescent="0.45">
      <c r="A61" s="689" t="s">
        <v>81</v>
      </c>
      <c r="B61" s="474">
        <v>213368.66</v>
      </c>
      <c r="C61" s="475"/>
      <c r="D61" s="474"/>
      <c r="E61" s="481">
        <v>42770.54</v>
      </c>
      <c r="F61" s="481">
        <f>23160.94</f>
        <v>23160.94</v>
      </c>
      <c r="G61" s="481">
        <v>57744.05</v>
      </c>
      <c r="H61" s="481">
        <f>23054.38+40176.2</f>
        <v>63230.58</v>
      </c>
      <c r="I61" s="481">
        <v>54576.33</v>
      </c>
      <c r="J61" s="481">
        <f>35957.75</f>
        <v>35957.75</v>
      </c>
      <c r="K61" s="482">
        <v>56042.06</v>
      </c>
      <c r="L61" s="482">
        <v>38587.910000000003</v>
      </c>
      <c r="M61" s="482">
        <v>38122.15</v>
      </c>
      <c r="N61" s="482"/>
      <c r="O61" s="476">
        <v>35896.800000000003</v>
      </c>
      <c r="P61" s="477"/>
      <c r="Q61" s="477">
        <v>34376.93</v>
      </c>
      <c r="R61" s="477">
        <f>74018.95+34376.93</f>
        <v>108395.88</v>
      </c>
      <c r="S61" s="477">
        <v>34732.089999999997</v>
      </c>
      <c r="T61" s="477">
        <v>34732.089999999997</v>
      </c>
      <c r="U61" s="477">
        <v>35479.56</v>
      </c>
      <c r="V61" s="477">
        <v>35479.56</v>
      </c>
      <c r="W61" s="477">
        <v>34031.360000000001</v>
      </c>
      <c r="X61" s="477">
        <v>34031.360000000001</v>
      </c>
      <c r="Y61" s="477">
        <v>40926.089999999997</v>
      </c>
      <c r="Z61" s="477">
        <f>40926.09</f>
        <v>40926.089999999997</v>
      </c>
      <c r="AA61" s="477">
        <v>29637</v>
      </c>
      <c r="AB61" s="477">
        <v>4280.92</v>
      </c>
      <c r="AC61" s="476">
        <f t="shared" si="5"/>
        <v>297482.37999999995</v>
      </c>
      <c r="AD61" s="520"/>
      <c r="AE61" s="476">
        <f t="shared" si="6"/>
        <v>213368.66</v>
      </c>
      <c r="AF61" s="476">
        <f t="shared" si="7"/>
        <v>498615.87999999995</v>
      </c>
      <c r="AG61" s="476">
        <f t="shared" si="8"/>
        <v>414502.16000000003</v>
      </c>
      <c r="AH61" s="476">
        <f t="shared" si="4"/>
        <v>297482.37999999989</v>
      </c>
      <c r="AI61" s="479" t="s">
        <v>411</v>
      </c>
    </row>
    <row r="62" spans="1:35" s="459" customFormat="1" ht="23.25" customHeight="1" x14ac:dyDescent="0.45">
      <c r="A62" s="689" t="s">
        <v>87</v>
      </c>
      <c r="B62" s="474">
        <f>'2015-2016'!AC62</f>
        <v>210338.7</v>
      </c>
      <c r="C62" s="475"/>
      <c r="D62" s="474"/>
      <c r="E62" s="481">
        <v>0</v>
      </c>
      <c r="F62" s="481"/>
      <c r="G62" s="481">
        <v>0</v>
      </c>
      <c r="H62" s="481"/>
      <c r="I62" s="481">
        <v>0</v>
      </c>
      <c r="J62" s="481"/>
      <c r="K62" s="482">
        <v>0</v>
      </c>
      <c r="L62" s="482"/>
      <c r="M62" s="482">
        <v>0</v>
      </c>
      <c r="N62" s="482"/>
      <c r="O62" s="476">
        <v>0</v>
      </c>
      <c r="P62" s="477"/>
      <c r="Q62" s="477">
        <v>0</v>
      </c>
      <c r="R62" s="477"/>
      <c r="S62" s="477">
        <v>0</v>
      </c>
      <c r="T62" s="477"/>
      <c r="U62" s="477">
        <v>0</v>
      </c>
      <c r="V62" s="477"/>
      <c r="W62" s="477">
        <v>0</v>
      </c>
      <c r="X62" s="477"/>
      <c r="Y62" s="477">
        <v>0</v>
      </c>
      <c r="Z62" s="477"/>
      <c r="AA62" s="477"/>
      <c r="AB62" s="477"/>
      <c r="AC62" s="476">
        <f t="shared" si="5"/>
        <v>210338.7</v>
      </c>
      <c r="AD62" s="520"/>
      <c r="AE62" s="476">
        <f t="shared" si="6"/>
        <v>210338.7</v>
      </c>
      <c r="AF62" s="476">
        <f t="shared" si="7"/>
        <v>0</v>
      </c>
      <c r="AG62" s="476">
        <f t="shared" si="8"/>
        <v>0</v>
      </c>
      <c r="AH62" s="476">
        <f t="shared" si="4"/>
        <v>210338.7</v>
      </c>
      <c r="AI62" s="479" t="s">
        <v>405</v>
      </c>
    </row>
    <row r="63" spans="1:35" s="459" customFormat="1" ht="23.25" customHeight="1" x14ac:dyDescent="0.45">
      <c r="A63" s="689" t="s">
        <v>312</v>
      </c>
      <c r="B63" s="474">
        <f>'2015-2016'!AC63</f>
        <v>264283.08</v>
      </c>
      <c r="C63" s="475"/>
      <c r="D63" s="474"/>
      <c r="E63" s="481">
        <v>0</v>
      </c>
      <c r="F63" s="481"/>
      <c r="G63" s="481">
        <v>0</v>
      </c>
      <c r="H63" s="481"/>
      <c r="I63" s="481">
        <v>0</v>
      </c>
      <c r="J63" s="481"/>
      <c r="K63" s="482">
        <v>0</v>
      </c>
      <c r="L63" s="482"/>
      <c r="M63" s="482">
        <v>0</v>
      </c>
      <c r="N63" s="482"/>
      <c r="O63" s="476">
        <v>0</v>
      </c>
      <c r="P63" s="477"/>
      <c r="Q63" s="477">
        <v>8747.23</v>
      </c>
      <c r="R63" s="477"/>
      <c r="S63" s="477">
        <v>50288.45</v>
      </c>
      <c r="T63" s="477"/>
      <c r="U63" s="477">
        <v>16338.96</v>
      </c>
      <c r="V63" s="477"/>
      <c r="W63" s="477">
        <v>0</v>
      </c>
      <c r="X63" s="477"/>
      <c r="Y63" s="477">
        <v>0</v>
      </c>
      <c r="Z63" s="477"/>
      <c r="AA63" s="477"/>
      <c r="AB63" s="477"/>
      <c r="AC63" s="476">
        <f t="shared" si="5"/>
        <v>339657.72000000003</v>
      </c>
      <c r="AD63" s="520"/>
      <c r="AE63" s="476">
        <f t="shared" si="6"/>
        <v>264283.08</v>
      </c>
      <c r="AF63" s="476">
        <f t="shared" si="7"/>
        <v>75374.639999999985</v>
      </c>
      <c r="AG63" s="476">
        <f t="shared" si="8"/>
        <v>0</v>
      </c>
      <c r="AH63" s="476">
        <f t="shared" si="4"/>
        <v>339657.72</v>
      </c>
      <c r="AI63" s="479" t="s">
        <v>405</v>
      </c>
    </row>
    <row r="64" spans="1:35" s="459" customFormat="1" ht="23.25" customHeight="1" x14ac:dyDescent="0.45">
      <c r="A64" s="689" t="s">
        <v>48</v>
      </c>
      <c r="B64" s="474">
        <f>'2015-2016'!AC64</f>
        <v>222167.32999999993</v>
      </c>
      <c r="C64" s="475"/>
      <c r="D64" s="474">
        <v>18378.939999999999</v>
      </c>
      <c r="E64" s="481">
        <v>0</v>
      </c>
      <c r="F64" s="481"/>
      <c r="G64" s="481">
        <v>16226.3</v>
      </c>
      <c r="H64" s="481"/>
      <c r="I64" s="481">
        <v>9108.77</v>
      </c>
      <c r="J64" s="481"/>
      <c r="K64" s="482">
        <v>77581.740000000005</v>
      </c>
      <c r="L64" s="482"/>
      <c r="M64" s="482">
        <v>-2149730.91</v>
      </c>
      <c r="N64" s="482"/>
      <c r="O64" s="476">
        <v>57022.41</v>
      </c>
      <c r="P64" s="477"/>
      <c r="Q64" s="477">
        <v>171698.91</v>
      </c>
      <c r="R64" s="477"/>
      <c r="S64" s="477">
        <v>80079.78</v>
      </c>
      <c r="T64" s="477"/>
      <c r="U64" s="477">
        <v>116346.14</v>
      </c>
      <c r="V64" s="477"/>
      <c r="W64" s="477">
        <v>77641.919999999998</v>
      </c>
      <c r="X64" s="477"/>
      <c r="Y64" s="477">
        <v>77149.13</v>
      </c>
      <c r="Z64" s="477"/>
      <c r="AA64" s="477">
        <v>91811.47</v>
      </c>
      <c r="AB64" s="477">
        <v>13673.66</v>
      </c>
      <c r="AC64" s="476">
        <f t="shared" si="5"/>
        <v>-1157602.2900000005</v>
      </c>
      <c r="AD64" s="520"/>
      <c r="AE64" s="476">
        <f t="shared" si="6"/>
        <v>222167.32999999993</v>
      </c>
      <c r="AF64" s="476">
        <f t="shared" si="7"/>
        <v>-1361390.6800000006</v>
      </c>
      <c r="AG64" s="476">
        <f t="shared" si="8"/>
        <v>18378.939999999999</v>
      </c>
      <c r="AH64" s="476">
        <f t="shared" si="4"/>
        <v>-1157602.2900000007</v>
      </c>
      <c r="AI64" s="479" t="s">
        <v>424</v>
      </c>
    </row>
    <row r="65" spans="1:35" s="459" customFormat="1" ht="23.25" customHeight="1" x14ac:dyDescent="0.45">
      <c r="A65" s="689" t="s">
        <v>79</v>
      </c>
      <c r="B65" s="474">
        <f>'2015-2016'!AC65</f>
        <v>182653.97999999998</v>
      </c>
      <c r="C65" s="475"/>
      <c r="D65" s="474"/>
      <c r="E65" s="481">
        <v>0</v>
      </c>
      <c r="F65" s="481"/>
      <c r="G65" s="481">
        <v>0</v>
      </c>
      <c r="H65" s="481"/>
      <c r="I65" s="481">
        <v>0</v>
      </c>
      <c r="J65" s="481"/>
      <c r="K65" s="482">
        <v>0</v>
      </c>
      <c r="L65" s="482"/>
      <c r="M65" s="482">
        <v>0</v>
      </c>
      <c r="N65" s="482"/>
      <c r="O65" s="476">
        <v>0</v>
      </c>
      <c r="P65" s="477"/>
      <c r="Q65" s="477">
        <v>0</v>
      </c>
      <c r="R65" s="477"/>
      <c r="S65" s="477">
        <v>0</v>
      </c>
      <c r="T65" s="477"/>
      <c r="U65" s="477">
        <v>0</v>
      </c>
      <c r="V65" s="477"/>
      <c r="W65" s="477">
        <v>0</v>
      </c>
      <c r="X65" s="477"/>
      <c r="Y65" s="477">
        <v>0</v>
      </c>
      <c r="Z65" s="477"/>
      <c r="AA65" s="477"/>
      <c r="AB65" s="477"/>
      <c r="AC65" s="476">
        <f t="shared" si="5"/>
        <v>182653.97999999998</v>
      </c>
      <c r="AD65" s="520"/>
      <c r="AE65" s="476">
        <f t="shared" si="6"/>
        <v>182653.97999999998</v>
      </c>
      <c r="AF65" s="476">
        <f t="shared" si="7"/>
        <v>0</v>
      </c>
      <c r="AG65" s="476">
        <f t="shared" si="8"/>
        <v>0</v>
      </c>
      <c r="AH65" s="476">
        <f t="shared" si="4"/>
        <v>182653.97999999998</v>
      </c>
      <c r="AI65" s="479" t="s">
        <v>405</v>
      </c>
    </row>
    <row r="66" spans="1:35" s="459" customFormat="1" ht="23.25" customHeight="1" x14ac:dyDescent="0.45">
      <c r="A66" s="689" t="s">
        <v>93</v>
      </c>
      <c r="B66" s="474">
        <f>'2015-2016'!AC66</f>
        <v>143834.67000000001</v>
      </c>
      <c r="C66" s="475"/>
      <c r="D66" s="474"/>
      <c r="E66" s="481">
        <v>0</v>
      </c>
      <c r="F66" s="481"/>
      <c r="G66" s="481">
        <v>0</v>
      </c>
      <c r="H66" s="481"/>
      <c r="I66" s="481">
        <v>0</v>
      </c>
      <c r="J66" s="481"/>
      <c r="K66" s="482">
        <v>0</v>
      </c>
      <c r="L66" s="482"/>
      <c r="M66" s="482">
        <v>0</v>
      </c>
      <c r="N66" s="482"/>
      <c r="O66" s="476">
        <v>0</v>
      </c>
      <c r="P66" s="477"/>
      <c r="Q66" s="477">
        <v>0</v>
      </c>
      <c r="R66" s="477"/>
      <c r="S66" s="477">
        <v>0</v>
      </c>
      <c r="T66" s="477"/>
      <c r="U66" s="477">
        <v>0</v>
      </c>
      <c r="V66" s="477"/>
      <c r="W66" s="477">
        <v>0</v>
      </c>
      <c r="X66" s="477"/>
      <c r="Y66" s="477">
        <v>0</v>
      </c>
      <c r="Z66" s="477"/>
      <c r="AA66" s="477"/>
      <c r="AB66" s="477"/>
      <c r="AC66" s="476">
        <f t="shared" si="5"/>
        <v>143834.67000000001</v>
      </c>
      <c r="AD66" s="520"/>
      <c r="AE66" s="476">
        <f t="shared" si="6"/>
        <v>143834.67000000001</v>
      </c>
      <c r="AF66" s="476">
        <f t="shared" si="7"/>
        <v>0</v>
      </c>
      <c r="AG66" s="476">
        <f t="shared" si="8"/>
        <v>0</v>
      </c>
      <c r="AH66" s="476">
        <f t="shared" si="4"/>
        <v>143834.67000000001</v>
      </c>
      <c r="AI66" s="479" t="s">
        <v>405</v>
      </c>
    </row>
    <row r="67" spans="1:35" s="459" customFormat="1" ht="23.25" customHeight="1" x14ac:dyDescent="0.45">
      <c r="A67" s="689" t="s">
        <v>368</v>
      </c>
      <c r="B67" s="474">
        <f>'2015-2016'!AC67</f>
        <v>527089.52000000025</v>
      </c>
      <c r="C67" s="475"/>
      <c r="D67" s="474">
        <v>527089.46</v>
      </c>
      <c r="E67" s="481">
        <v>694244.58</v>
      </c>
      <c r="F67" s="481">
        <v>694244.58</v>
      </c>
      <c r="G67" s="481">
        <v>594629.46</v>
      </c>
      <c r="H67" s="481">
        <v>594629.46</v>
      </c>
      <c r="I67" s="481">
        <v>601278.68999999994</v>
      </c>
      <c r="J67" s="481">
        <v>601278.68999999994</v>
      </c>
      <c r="K67" s="482">
        <v>596601</v>
      </c>
      <c r="L67" s="482">
        <v>596601</v>
      </c>
      <c r="M67" s="482">
        <v>862204.16</v>
      </c>
      <c r="N67" s="482"/>
      <c r="O67" s="476">
        <v>603174.41</v>
      </c>
      <c r="P67" s="477">
        <f>862204.17+603174.41</f>
        <v>1465378.58</v>
      </c>
      <c r="Q67" s="477">
        <v>977685.82</v>
      </c>
      <c r="R67" s="477">
        <v>977685.82</v>
      </c>
      <c r="S67" s="477">
        <v>566051.67000000004</v>
      </c>
      <c r="T67" s="477">
        <v>566051.67000000004</v>
      </c>
      <c r="U67" s="477">
        <v>570075.57999999996</v>
      </c>
      <c r="V67" s="477">
        <v>570075.57999999996</v>
      </c>
      <c r="W67" s="477">
        <v>544576.9</v>
      </c>
      <c r="X67" s="477">
        <v>544576.9</v>
      </c>
      <c r="Y67" s="477">
        <v>654676.18999999994</v>
      </c>
      <c r="Z67" s="534">
        <v>1166453.6399999999</v>
      </c>
      <c r="AA67" s="477">
        <v>511777.45</v>
      </c>
      <c r="AB67" s="477">
        <v>233360.98</v>
      </c>
      <c r="AC67" s="476">
        <f t="shared" si="5"/>
        <v>233361.03000000035</v>
      </c>
      <c r="AD67" s="520"/>
      <c r="AE67" s="476">
        <f t="shared" si="6"/>
        <v>527089.52000000025</v>
      </c>
      <c r="AF67" s="476">
        <f t="shared" si="7"/>
        <v>8010336.8900000015</v>
      </c>
      <c r="AG67" s="476">
        <f t="shared" si="8"/>
        <v>8304065.3799999999</v>
      </c>
      <c r="AH67" s="476">
        <f t="shared" si="4"/>
        <v>233361.03000000212</v>
      </c>
      <c r="AI67" s="479" t="s">
        <v>391</v>
      </c>
    </row>
    <row r="68" spans="1:35" s="459" customFormat="1" ht="23.25" customHeight="1" x14ac:dyDescent="0.45">
      <c r="A68" s="689" t="s">
        <v>78</v>
      </c>
      <c r="B68" s="474">
        <v>0</v>
      </c>
      <c r="C68" s="475"/>
      <c r="D68" s="474"/>
      <c r="E68" s="481">
        <v>0</v>
      </c>
      <c r="F68" s="481"/>
      <c r="G68" s="481">
        <v>0</v>
      </c>
      <c r="H68" s="481"/>
      <c r="I68" s="481">
        <v>0</v>
      </c>
      <c r="J68" s="481"/>
      <c r="K68" s="482">
        <v>0</v>
      </c>
      <c r="L68" s="482"/>
      <c r="M68" s="482">
        <v>-107079.59</v>
      </c>
      <c r="N68" s="482"/>
      <c r="O68" s="476">
        <v>0</v>
      </c>
      <c r="P68" s="477"/>
      <c r="Q68" s="477">
        <v>0</v>
      </c>
      <c r="R68" s="477"/>
      <c r="S68" s="477">
        <v>0</v>
      </c>
      <c r="T68" s="477"/>
      <c r="U68" s="477">
        <v>0</v>
      </c>
      <c r="V68" s="477"/>
      <c r="W68" s="477">
        <v>0</v>
      </c>
      <c r="X68" s="477"/>
      <c r="Y68" s="477">
        <v>0</v>
      </c>
      <c r="Z68" s="477"/>
      <c r="AA68" s="477"/>
      <c r="AB68" s="477"/>
      <c r="AC68" s="476">
        <f t="shared" si="5"/>
        <v>-107079.59</v>
      </c>
      <c r="AD68" s="520"/>
      <c r="AE68" s="476">
        <f t="shared" si="6"/>
        <v>0</v>
      </c>
      <c r="AF68" s="476">
        <f t="shared" si="7"/>
        <v>-107079.59</v>
      </c>
      <c r="AG68" s="476">
        <f t="shared" si="8"/>
        <v>0</v>
      </c>
      <c r="AH68" s="476">
        <f t="shared" si="4"/>
        <v>-107079.59</v>
      </c>
      <c r="AI68" s="479" t="s">
        <v>424</v>
      </c>
    </row>
    <row r="69" spans="1:35" s="459" customFormat="1" ht="23.25" customHeight="1" x14ac:dyDescent="0.45">
      <c r="A69" s="689" t="s">
        <v>187</v>
      </c>
      <c r="B69" s="474">
        <f>'2015-2016'!AC69</f>
        <v>119312.08000000031</v>
      </c>
      <c r="C69" s="475"/>
      <c r="D69" s="474"/>
      <c r="E69" s="481">
        <v>0</v>
      </c>
      <c r="F69" s="481"/>
      <c r="G69" s="481">
        <v>0</v>
      </c>
      <c r="H69" s="481"/>
      <c r="I69" s="481">
        <v>0</v>
      </c>
      <c r="J69" s="481"/>
      <c r="K69" s="482">
        <v>0</v>
      </c>
      <c r="L69" s="482"/>
      <c r="M69" s="482">
        <v>41871.17</v>
      </c>
      <c r="N69" s="482"/>
      <c r="O69" s="476">
        <v>0</v>
      </c>
      <c r="P69" s="477"/>
      <c r="Q69" s="477">
        <v>0</v>
      </c>
      <c r="R69" s="477"/>
      <c r="S69" s="477">
        <v>0</v>
      </c>
      <c r="T69" s="477"/>
      <c r="U69" s="477">
        <v>0</v>
      </c>
      <c r="V69" s="477"/>
      <c r="W69" s="477">
        <v>0</v>
      </c>
      <c r="X69" s="477"/>
      <c r="Y69" s="477">
        <v>0</v>
      </c>
      <c r="Z69" s="477"/>
      <c r="AA69" s="477"/>
      <c r="AB69" s="477"/>
      <c r="AC69" s="476">
        <f t="shared" si="5"/>
        <v>161183.25000000029</v>
      </c>
      <c r="AD69" s="520"/>
      <c r="AE69" s="476">
        <f t="shared" si="6"/>
        <v>119312.08000000031</v>
      </c>
      <c r="AF69" s="476">
        <f t="shared" si="7"/>
        <v>41871.17</v>
      </c>
      <c r="AG69" s="476">
        <f t="shared" si="8"/>
        <v>0</v>
      </c>
      <c r="AH69" s="476">
        <f t="shared" si="4"/>
        <v>161183.25000000029</v>
      </c>
      <c r="AI69" s="479" t="s">
        <v>405</v>
      </c>
    </row>
    <row r="70" spans="1:35" s="459" customFormat="1" ht="23.25" customHeight="1" x14ac:dyDescent="0.45">
      <c r="A70" s="689" t="s">
        <v>314</v>
      </c>
      <c r="B70" s="474">
        <f>'2015-2016'!AC70</f>
        <v>104351.03999999999</v>
      </c>
      <c r="C70" s="475"/>
      <c r="D70" s="474"/>
      <c r="E70" s="481">
        <v>0</v>
      </c>
      <c r="F70" s="481"/>
      <c r="G70" s="481">
        <v>0</v>
      </c>
      <c r="H70" s="481"/>
      <c r="I70" s="481">
        <v>0</v>
      </c>
      <c r="J70" s="481"/>
      <c r="K70" s="482">
        <v>1523.51</v>
      </c>
      <c r="L70" s="482"/>
      <c r="M70" s="482">
        <v>0</v>
      </c>
      <c r="N70" s="482"/>
      <c r="O70" s="476">
        <v>0</v>
      </c>
      <c r="P70" s="477"/>
      <c r="Q70" s="477">
        <v>0</v>
      </c>
      <c r="R70" s="477"/>
      <c r="S70" s="477">
        <v>0</v>
      </c>
      <c r="T70" s="477"/>
      <c r="U70" s="477">
        <v>0</v>
      </c>
      <c r="V70" s="477"/>
      <c r="W70" s="477">
        <v>0</v>
      </c>
      <c r="X70" s="477"/>
      <c r="Y70" s="477">
        <v>0</v>
      </c>
      <c r="Z70" s="477"/>
      <c r="AA70" s="477"/>
      <c r="AB70" s="477"/>
      <c r="AC70" s="476">
        <f t="shared" ref="AC70:AC75" si="9">B70-C70-D70+E70-F70+G70-H70+I70-J70+K70-L70+M70-N70+O70-P70+Q70-R70+S70-T70+U70-V70+W70-X70+Y70-Z70+AA70+AB70</f>
        <v>105874.54999999999</v>
      </c>
      <c r="AD70" s="520"/>
      <c r="AE70" s="476">
        <f t="shared" ref="AE70:AE101" si="10">B70</f>
        <v>104351.03999999999</v>
      </c>
      <c r="AF70" s="476">
        <f t="shared" ref="AF70:AF101" si="11">E70+G70+I70+K70+M70+O70+Q70+S70+U70+W70+Y70+AA70+AB70</f>
        <v>1523.51</v>
      </c>
      <c r="AG70" s="476">
        <f t="shared" ref="AG70:AG75" si="12">D70+F70+H70+J70+L70+N70+P70+R70+T70+V70+X70+Z70</f>
        <v>0</v>
      </c>
      <c r="AH70" s="476">
        <f t="shared" si="4"/>
        <v>105874.54999999999</v>
      </c>
      <c r="AI70" s="479" t="s">
        <v>405</v>
      </c>
    </row>
    <row r="71" spans="1:35" s="459" customFormat="1" ht="23.25" customHeight="1" x14ac:dyDescent="0.45">
      <c r="A71" s="689" t="s">
        <v>83</v>
      </c>
      <c r="B71" s="474">
        <f>'2015-2016'!AC71</f>
        <v>21523.110000000048</v>
      </c>
      <c r="C71" s="475"/>
      <c r="D71" s="474"/>
      <c r="E71" s="481">
        <v>4269.3500000000004</v>
      </c>
      <c r="F71" s="481"/>
      <c r="G71" s="481">
        <v>2090</v>
      </c>
      <c r="H71" s="481">
        <v>11264.07</v>
      </c>
      <c r="I71" s="481">
        <v>3334.67</v>
      </c>
      <c r="J71" s="481">
        <v>2090</v>
      </c>
      <c r="K71" s="482">
        <v>18622.96</v>
      </c>
      <c r="L71" s="482"/>
      <c r="M71" s="482">
        <v>152426.9</v>
      </c>
      <c r="N71" s="482">
        <f>21957.63</f>
        <v>21957.63</v>
      </c>
      <c r="O71" s="476">
        <v>38835.699999999997</v>
      </c>
      <c r="P71" s="477"/>
      <c r="Q71" s="477">
        <v>42782.15</v>
      </c>
      <c r="R71" s="477"/>
      <c r="S71" s="477">
        <v>63171.77</v>
      </c>
      <c r="T71" s="477">
        <f>81617.85</f>
        <v>81617.850000000006</v>
      </c>
      <c r="U71" s="477">
        <v>65258.27</v>
      </c>
      <c r="V71" s="477">
        <f>63171.77</f>
        <v>63171.77</v>
      </c>
      <c r="W71" s="477">
        <v>48917.21</v>
      </c>
      <c r="X71" s="477"/>
      <c r="Y71" s="477">
        <v>27769.46</v>
      </c>
      <c r="Z71" s="529">
        <v>114175.48</v>
      </c>
      <c r="AA71" s="477">
        <v>8142.02</v>
      </c>
      <c r="AB71" s="477">
        <v>79931</v>
      </c>
      <c r="AC71" s="476">
        <f t="shared" si="9"/>
        <v>282797.77</v>
      </c>
      <c r="AD71" s="520"/>
      <c r="AE71" s="476">
        <f t="shared" si="10"/>
        <v>21523.110000000048</v>
      </c>
      <c r="AF71" s="476">
        <f t="shared" si="11"/>
        <v>555551.4600000002</v>
      </c>
      <c r="AG71" s="476">
        <f t="shared" si="12"/>
        <v>294276.8</v>
      </c>
      <c r="AH71" s="476">
        <f t="shared" ref="AH71:AH113" si="13">AE71+AF71-AG71</f>
        <v>282797.77000000031</v>
      </c>
      <c r="AI71" s="479" t="s">
        <v>425</v>
      </c>
    </row>
    <row r="72" spans="1:35" s="459" customFormat="1" ht="23.25" customHeight="1" x14ac:dyDescent="0.45">
      <c r="A72" s="514" t="s">
        <v>112</v>
      </c>
      <c r="B72" s="474"/>
      <c r="C72" s="475"/>
      <c r="D72" s="474"/>
      <c r="E72" s="481">
        <v>0</v>
      </c>
      <c r="F72" s="481"/>
      <c r="G72" s="481">
        <v>0</v>
      </c>
      <c r="H72" s="481"/>
      <c r="I72" s="481">
        <v>0</v>
      </c>
      <c r="J72" s="481"/>
      <c r="K72" s="482">
        <v>0</v>
      </c>
      <c r="L72" s="482"/>
      <c r="M72" s="482">
        <v>0</v>
      </c>
      <c r="N72" s="482"/>
      <c r="O72" s="476">
        <v>0</v>
      </c>
      <c r="P72" s="477"/>
      <c r="Q72" s="477">
        <v>0</v>
      </c>
      <c r="R72" s="477"/>
      <c r="S72" s="477">
        <v>0</v>
      </c>
      <c r="T72" s="477"/>
      <c r="U72" s="477">
        <v>0</v>
      </c>
      <c r="V72" s="477"/>
      <c r="W72" s="477">
        <v>0</v>
      </c>
      <c r="X72" s="477"/>
      <c r="Y72" s="477">
        <v>0</v>
      </c>
      <c r="Z72" s="477"/>
      <c r="AA72" s="477"/>
      <c r="AB72" s="477"/>
      <c r="AC72" s="476">
        <f t="shared" si="9"/>
        <v>0</v>
      </c>
      <c r="AD72" s="520"/>
      <c r="AE72" s="476">
        <f t="shared" si="10"/>
        <v>0</v>
      </c>
      <c r="AF72" s="476">
        <f t="shared" si="11"/>
        <v>0</v>
      </c>
      <c r="AG72" s="476">
        <f t="shared" si="12"/>
        <v>0</v>
      </c>
      <c r="AH72" s="476">
        <f t="shared" si="13"/>
        <v>0</v>
      </c>
      <c r="AI72" s="479" t="s">
        <v>405</v>
      </c>
    </row>
    <row r="73" spans="1:35" s="459" customFormat="1" ht="23.25" customHeight="1" x14ac:dyDescent="0.45">
      <c r="A73" s="689" t="s">
        <v>190</v>
      </c>
      <c r="B73" s="474">
        <f>'2015-2016'!AC73</f>
        <v>50893.020000000004</v>
      </c>
      <c r="C73" s="475"/>
      <c r="D73" s="474"/>
      <c r="E73" s="481">
        <v>0</v>
      </c>
      <c r="F73" s="481"/>
      <c r="G73" s="481">
        <v>0</v>
      </c>
      <c r="H73" s="481"/>
      <c r="I73" s="481">
        <v>0</v>
      </c>
      <c r="J73" s="481"/>
      <c r="K73" s="482">
        <v>0</v>
      </c>
      <c r="L73" s="482"/>
      <c r="M73" s="482">
        <v>-316848</v>
      </c>
      <c r="N73" s="482"/>
      <c r="O73" s="476">
        <v>0</v>
      </c>
      <c r="P73" s="477"/>
      <c r="Q73" s="477">
        <v>0</v>
      </c>
      <c r="R73" s="477"/>
      <c r="S73" s="477">
        <v>0</v>
      </c>
      <c r="T73" s="477"/>
      <c r="U73" s="477">
        <v>0</v>
      </c>
      <c r="V73" s="477"/>
      <c r="W73" s="477">
        <v>0</v>
      </c>
      <c r="X73" s="477"/>
      <c r="Y73" s="477">
        <v>0</v>
      </c>
      <c r="Z73" s="477"/>
      <c r="AA73" s="477"/>
      <c r="AB73" s="477"/>
      <c r="AC73" s="476">
        <f t="shared" si="9"/>
        <v>-265954.98</v>
      </c>
      <c r="AD73" s="520"/>
      <c r="AE73" s="476">
        <f t="shared" si="10"/>
        <v>50893.020000000004</v>
      </c>
      <c r="AF73" s="476">
        <f t="shared" si="11"/>
        <v>-316848</v>
      </c>
      <c r="AG73" s="476">
        <f t="shared" si="12"/>
        <v>0</v>
      </c>
      <c r="AH73" s="476">
        <f t="shared" si="13"/>
        <v>-265954.98</v>
      </c>
      <c r="AI73" s="479" t="s">
        <v>424</v>
      </c>
    </row>
    <row r="74" spans="1:35" s="459" customFormat="1" ht="23.25" customHeight="1" x14ac:dyDescent="0.45">
      <c r="A74" s="689" t="s">
        <v>426</v>
      </c>
      <c r="B74" s="474">
        <f>'2015-2016'!AC74</f>
        <v>128687.14</v>
      </c>
      <c r="C74" s="475"/>
      <c r="D74" s="474"/>
      <c r="E74" s="481">
        <v>13989.19</v>
      </c>
      <c r="F74" s="481"/>
      <c r="G74" s="481">
        <v>1193.25</v>
      </c>
      <c r="H74" s="481"/>
      <c r="I74" s="481">
        <v>0</v>
      </c>
      <c r="J74" s="481"/>
      <c r="K74" s="482">
        <v>0</v>
      </c>
      <c r="L74" s="482"/>
      <c r="M74" s="482">
        <v>0</v>
      </c>
      <c r="N74" s="482"/>
      <c r="O74" s="476">
        <v>0</v>
      </c>
      <c r="P74" s="477"/>
      <c r="Q74" s="477">
        <v>0</v>
      </c>
      <c r="R74" s="477"/>
      <c r="S74" s="477">
        <v>18133.560000000001</v>
      </c>
      <c r="T74" s="477"/>
      <c r="U74" s="477">
        <v>0</v>
      </c>
      <c r="V74" s="477"/>
      <c r="W74" s="477">
        <v>0</v>
      </c>
      <c r="X74" s="477"/>
      <c r="Y74" s="477">
        <v>0</v>
      </c>
      <c r="Z74" s="477"/>
      <c r="AA74" s="477"/>
      <c r="AB74" s="477"/>
      <c r="AC74" s="476">
        <f t="shared" si="9"/>
        <v>162003.13999999998</v>
      </c>
      <c r="AD74" s="520"/>
      <c r="AE74" s="476">
        <f t="shared" si="10"/>
        <v>128687.14</v>
      </c>
      <c r="AF74" s="476">
        <f t="shared" si="11"/>
        <v>33316</v>
      </c>
      <c r="AG74" s="476">
        <f t="shared" si="12"/>
        <v>0</v>
      </c>
      <c r="AH74" s="476">
        <f t="shared" si="13"/>
        <v>162003.14000000001</v>
      </c>
      <c r="AI74" s="479" t="s">
        <v>427</v>
      </c>
    </row>
    <row r="75" spans="1:35" s="459" customFormat="1" ht="23.25" customHeight="1" x14ac:dyDescent="0.45">
      <c r="A75" s="689" t="s">
        <v>52</v>
      </c>
      <c r="B75" s="474">
        <v>1052084</v>
      </c>
      <c r="C75" s="475"/>
      <c r="D75" s="474">
        <f>6696.5</f>
        <v>6696.5</v>
      </c>
      <c r="E75" s="481">
        <v>11402.89</v>
      </c>
      <c r="F75" s="481"/>
      <c r="G75" s="481">
        <v>11405.16</v>
      </c>
      <c r="H75" s="481">
        <v>11402.89</v>
      </c>
      <c r="I75" s="481">
        <v>10993.56</v>
      </c>
      <c r="J75" s="481">
        <f>11405.16+11315.24+10993.56</f>
        <v>33713.96</v>
      </c>
      <c r="K75" s="482">
        <v>36027.800000000003</v>
      </c>
      <c r="L75" s="482"/>
      <c r="M75" s="482">
        <v>28457.279999999999</v>
      </c>
      <c r="N75" s="482">
        <v>11401</v>
      </c>
      <c r="O75" s="476">
        <v>34086.61</v>
      </c>
      <c r="P75" s="477">
        <v>10379.57</v>
      </c>
      <c r="Q75" s="477">
        <v>-47413.88</v>
      </c>
      <c r="R75" s="477">
        <v>10044.75</v>
      </c>
      <c r="S75" s="477">
        <v>11081.18</v>
      </c>
      <c r="T75" s="477">
        <f>11341.12+11081.18</f>
        <v>22422.300000000003</v>
      </c>
      <c r="U75" s="477">
        <v>10924.77</v>
      </c>
      <c r="V75" s="477">
        <v>10924.77</v>
      </c>
      <c r="W75" s="477">
        <v>11473.25</v>
      </c>
      <c r="X75" s="477"/>
      <c r="Y75" s="477">
        <v>9375.1</v>
      </c>
      <c r="Z75" s="528">
        <v>1018610.65</v>
      </c>
      <c r="AA75" s="477">
        <v>5022.37</v>
      </c>
      <c r="AB75" s="477">
        <v>5914.01</v>
      </c>
      <c r="AC75" s="476">
        <f t="shared" si="9"/>
        <v>55237.710000000196</v>
      </c>
      <c r="AD75" s="520"/>
      <c r="AE75" s="476">
        <f t="shared" si="10"/>
        <v>1052084</v>
      </c>
      <c r="AF75" s="476">
        <f t="shared" si="11"/>
        <v>138750.1</v>
      </c>
      <c r="AG75" s="476">
        <f t="shared" si="12"/>
        <v>1135596.3900000001</v>
      </c>
      <c r="AH75" s="476">
        <f t="shared" si="13"/>
        <v>55237.709999999963</v>
      </c>
      <c r="AI75" s="479" t="s">
        <v>427</v>
      </c>
    </row>
    <row r="76" spans="1:35" s="459" customFormat="1" ht="23.25" customHeight="1" x14ac:dyDescent="0.45">
      <c r="A76" s="689" t="s">
        <v>55</v>
      </c>
      <c r="B76" s="474">
        <f>'2015-2016'!AC76</f>
        <v>41234.68</v>
      </c>
      <c r="C76" s="475"/>
      <c r="D76" s="474"/>
      <c r="E76" s="481">
        <v>0</v>
      </c>
      <c r="F76" s="481"/>
      <c r="G76" s="481">
        <v>0</v>
      </c>
      <c r="H76" s="481"/>
      <c r="I76" s="481">
        <v>0</v>
      </c>
      <c r="J76" s="481"/>
      <c r="K76" s="482">
        <v>0</v>
      </c>
      <c r="L76" s="482"/>
      <c r="M76" s="482">
        <v>-262323.88</v>
      </c>
      <c r="N76" s="482"/>
      <c r="O76" s="476">
        <v>0</v>
      </c>
      <c r="P76" s="477"/>
      <c r="Q76" s="477">
        <v>0</v>
      </c>
      <c r="R76" s="477"/>
      <c r="S76" s="477">
        <v>0</v>
      </c>
      <c r="T76" s="477"/>
      <c r="U76" s="477">
        <v>0</v>
      </c>
      <c r="V76" s="477"/>
      <c r="W76" s="477">
        <v>0</v>
      </c>
      <c r="X76" s="477"/>
      <c r="Y76" s="477">
        <v>0</v>
      </c>
      <c r="Z76" s="477" t="s">
        <v>428</v>
      </c>
      <c r="AA76" s="477"/>
      <c r="AB76" s="477"/>
      <c r="AC76" s="476">
        <v>-221089.2</v>
      </c>
      <c r="AD76" s="520"/>
      <c r="AE76" s="476">
        <f t="shared" si="10"/>
        <v>41234.68</v>
      </c>
      <c r="AF76" s="476">
        <f t="shared" si="11"/>
        <v>-262323.88</v>
      </c>
      <c r="AG76" s="476">
        <v>0</v>
      </c>
      <c r="AH76" s="476">
        <f t="shared" si="13"/>
        <v>-221089.2</v>
      </c>
      <c r="AI76" s="479" t="s">
        <v>424</v>
      </c>
    </row>
    <row r="77" spans="1:35" s="459" customFormat="1" ht="23.25" customHeight="1" x14ac:dyDescent="0.45">
      <c r="A77" s="689" t="s">
        <v>311</v>
      </c>
      <c r="B77" s="474">
        <f>39585.07</f>
        <v>39585.07</v>
      </c>
      <c r="C77" s="475"/>
      <c r="D77" s="474"/>
      <c r="E77" s="481">
        <v>0</v>
      </c>
      <c r="F77" s="481"/>
      <c r="G77" s="481">
        <v>0</v>
      </c>
      <c r="H77" s="481"/>
      <c r="I77" s="481">
        <v>0</v>
      </c>
      <c r="J77" s="481"/>
      <c r="K77" s="482">
        <v>0</v>
      </c>
      <c r="L77" s="482"/>
      <c r="M77" s="482">
        <v>3524.95</v>
      </c>
      <c r="N77" s="482"/>
      <c r="O77" s="476">
        <v>0</v>
      </c>
      <c r="P77" s="477"/>
      <c r="Q77" s="477">
        <v>0</v>
      </c>
      <c r="R77" s="477"/>
      <c r="S77" s="477">
        <v>0</v>
      </c>
      <c r="T77" s="477"/>
      <c r="U77" s="477">
        <v>0</v>
      </c>
      <c r="V77" s="477"/>
      <c r="W77" s="477">
        <v>0</v>
      </c>
      <c r="X77" s="477"/>
      <c r="Y77" s="477">
        <v>0</v>
      </c>
      <c r="Z77" s="477"/>
      <c r="AA77" s="477"/>
      <c r="AB77" s="477"/>
      <c r="AC77" s="476">
        <f t="shared" ref="AC77:AC113" si="14">B77-C77-D77+E77-F77+G77-H77+I77-J77+K77-L77+M77-N77+O77-P77+Q77-R77+S77-T77+U77-V77+W77-X77+Y77-Z77+AA77+AB77</f>
        <v>43110.02</v>
      </c>
      <c r="AD77" s="520"/>
      <c r="AE77" s="476">
        <f t="shared" si="10"/>
        <v>39585.07</v>
      </c>
      <c r="AF77" s="476">
        <f t="shared" si="11"/>
        <v>3524.95</v>
      </c>
      <c r="AG77" s="476">
        <f t="shared" ref="AG77:AG113" si="15">D77+F77+H77+J77+L77+N77+P77+R77+T77+V77+X77+Z77</f>
        <v>0</v>
      </c>
      <c r="AH77" s="476">
        <f t="shared" si="13"/>
        <v>43110.02</v>
      </c>
      <c r="AI77" s="479" t="s">
        <v>427</v>
      </c>
    </row>
    <row r="78" spans="1:35" s="459" customFormat="1" ht="23.25" customHeight="1" x14ac:dyDescent="0.45">
      <c r="A78" s="689" t="s">
        <v>45</v>
      </c>
      <c r="B78" s="474">
        <f>'2015-2016'!AC78</f>
        <v>283992.65000000008</v>
      </c>
      <c r="C78" s="475"/>
      <c r="D78" s="474">
        <v>14947.39</v>
      </c>
      <c r="E78" s="481">
        <v>24331.83</v>
      </c>
      <c r="F78" s="481">
        <v>24331.83</v>
      </c>
      <c r="G78" s="481">
        <v>13359.35</v>
      </c>
      <c r="H78" s="481">
        <v>13359.35</v>
      </c>
      <c r="I78" s="481">
        <v>15774.25</v>
      </c>
      <c r="J78" s="481"/>
      <c r="K78" s="482">
        <v>54848.22</v>
      </c>
      <c r="L78" s="482">
        <v>15774.25</v>
      </c>
      <c r="M78" s="482">
        <v>-104099.21</v>
      </c>
      <c r="N78" s="482"/>
      <c r="O78" s="476">
        <v>33269.17</v>
      </c>
      <c r="P78" s="477"/>
      <c r="Q78" s="477">
        <v>29120.31</v>
      </c>
      <c r="R78" s="477"/>
      <c r="S78" s="477">
        <v>35585.480000000003</v>
      </c>
      <c r="T78" s="477"/>
      <c r="U78" s="477">
        <v>37255.31</v>
      </c>
      <c r="V78" s="477"/>
      <c r="W78" s="477">
        <v>44255.63</v>
      </c>
      <c r="X78" s="477"/>
      <c r="Y78" s="477">
        <v>68142.58</v>
      </c>
      <c r="Z78" s="477">
        <f>234334.12</f>
        <v>234334.12</v>
      </c>
      <c r="AA78" s="477">
        <v>22852.29</v>
      </c>
      <c r="AB78" s="477">
        <v>47809.72</v>
      </c>
      <c r="AC78" s="476">
        <f t="shared" si="14"/>
        <v>303750.64000000007</v>
      </c>
      <c r="AD78" s="520"/>
      <c r="AE78" s="476">
        <f t="shared" si="10"/>
        <v>283992.65000000008</v>
      </c>
      <c r="AF78" s="476">
        <f t="shared" si="11"/>
        <v>322504.92999999993</v>
      </c>
      <c r="AG78" s="476">
        <f t="shared" si="15"/>
        <v>302746.94</v>
      </c>
      <c r="AH78" s="476">
        <f t="shared" si="13"/>
        <v>303750.64000000007</v>
      </c>
      <c r="AI78" s="479" t="s">
        <v>429</v>
      </c>
    </row>
    <row r="79" spans="1:35" s="459" customFormat="1" ht="23.25" customHeight="1" x14ac:dyDescent="0.45">
      <c r="A79" s="689" t="s">
        <v>191</v>
      </c>
      <c r="B79" s="474">
        <f>'2015-2016'!AC79</f>
        <v>152625.19</v>
      </c>
      <c r="C79" s="475"/>
      <c r="D79" s="474"/>
      <c r="E79" s="481">
        <v>0</v>
      </c>
      <c r="F79" s="481"/>
      <c r="G79" s="481">
        <v>0</v>
      </c>
      <c r="H79" s="481"/>
      <c r="I79" s="481">
        <v>0</v>
      </c>
      <c r="J79" s="481"/>
      <c r="K79" s="482">
        <v>0</v>
      </c>
      <c r="L79" s="482"/>
      <c r="M79" s="482">
        <v>-36766.980000000003</v>
      </c>
      <c r="N79" s="482"/>
      <c r="O79" s="476">
        <v>0</v>
      </c>
      <c r="P79" s="477"/>
      <c r="Q79" s="477">
        <v>0</v>
      </c>
      <c r="R79" s="477"/>
      <c r="S79" s="477">
        <v>0</v>
      </c>
      <c r="T79" s="477"/>
      <c r="U79" s="477">
        <v>0</v>
      </c>
      <c r="V79" s="477">
        <v>145155.57</v>
      </c>
      <c r="W79" s="477">
        <v>0</v>
      </c>
      <c r="X79" s="477"/>
      <c r="Y79" s="477">
        <v>0</v>
      </c>
      <c r="Z79" s="477"/>
      <c r="AA79" s="477"/>
      <c r="AB79" s="477"/>
      <c r="AC79" s="476">
        <f t="shared" si="14"/>
        <v>-29297.360000000015</v>
      </c>
      <c r="AD79" s="520"/>
      <c r="AE79" s="476">
        <f t="shared" si="10"/>
        <v>152625.19</v>
      </c>
      <c r="AF79" s="476">
        <f t="shared" si="11"/>
        <v>-36766.980000000003</v>
      </c>
      <c r="AG79" s="476">
        <f t="shared" si="15"/>
        <v>145155.57</v>
      </c>
      <c r="AH79" s="476">
        <f t="shared" si="13"/>
        <v>-29297.360000000015</v>
      </c>
      <c r="AI79" s="479" t="s">
        <v>430</v>
      </c>
    </row>
    <row r="80" spans="1:35" s="459" customFormat="1" ht="23.25" customHeight="1" x14ac:dyDescent="0.45">
      <c r="A80" s="689" t="s">
        <v>309</v>
      </c>
      <c r="B80" s="474">
        <v>148563.41</v>
      </c>
      <c r="C80" s="475"/>
      <c r="D80" s="474">
        <v>62683.23</v>
      </c>
      <c r="E80" s="481">
        <v>27168.46</v>
      </c>
      <c r="F80" s="481">
        <v>27168.46</v>
      </c>
      <c r="G80" s="481">
        <v>47203.34</v>
      </c>
      <c r="H80" s="481">
        <f>47203.34</f>
        <v>47203.34</v>
      </c>
      <c r="I80" s="481">
        <v>57235.5</v>
      </c>
      <c r="J80" s="481"/>
      <c r="K80" s="482">
        <v>39395.42</v>
      </c>
      <c r="L80" s="482"/>
      <c r="M80" s="482">
        <v>-1281.5899999999999</v>
      </c>
      <c r="N80" s="482"/>
      <c r="O80" s="476">
        <v>0</v>
      </c>
      <c r="P80" s="477"/>
      <c r="Q80" s="477">
        <v>0</v>
      </c>
      <c r="R80" s="477"/>
      <c r="S80" s="477">
        <v>17184.240000000002</v>
      </c>
      <c r="T80" s="477">
        <f>17184</f>
        <v>17184</v>
      </c>
      <c r="U80" s="477">
        <v>32158.68</v>
      </c>
      <c r="V80" s="477"/>
      <c r="W80" s="477">
        <v>62533.4</v>
      </c>
      <c r="X80" s="477">
        <f>94692.08</f>
        <v>94692.08</v>
      </c>
      <c r="Y80" s="477">
        <v>-33428.160000000003</v>
      </c>
      <c r="Z80" s="477"/>
      <c r="AA80" s="477"/>
      <c r="AB80" s="477"/>
      <c r="AC80" s="476">
        <f t="shared" si="14"/>
        <v>147801.58999999994</v>
      </c>
      <c r="AD80" s="520"/>
      <c r="AE80" s="476">
        <f t="shared" si="10"/>
        <v>148563.41</v>
      </c>
      <c r="AF80" s="476">
        <f t="shared" si="11"/>
        <v>248169.28999999995</v>
      </c>
      <c r="AG80" s="476">
        <f t="shared" si="15"/>
        <v>248931.11</v>
      </c>
      <c r="AH80" s="476">
        <f t="shared" si="13"/>
        <v>147801.58999999997</v>
      </c>
      <c r="AI80" s="479" t="s">
        <v>431</v>
      </c>
    </row>
    <row r="81" spans="1:35" s="459" customFormat="1" ht="23.25" customHeight="1" x14ac:dyDescent="0.45">
      <c r="A81" s="689" t="s">
        <v>197</v>
      </c>
      <c r="B81" s="474">
        <f>'2015-2016'!AC81</f>
        <v>30182.73</v>
      </c>
      <c r="C81" s="475"/>
      <c r="D81" s="474"/>
      <c r="E81" s="481">
        <v>0</v>
      </c>
      <c r="F81" s="481"/>
      <c r="G81" s="481">
        <v>0</v>
      </c>
      <c r="H81" s="481"/>
      <c r="I81" s="481">
        <v>0</v>
      </c>
      <c r="J81" s="481"/>
      <c r="K81" s="482">
        <v>0</v>
      </c>
      <c r="L81" s="482"/>
      <c r="M81" s="482">
        <v>0</v>
      </c>
      <c r="N81" s="482"/>
      <c r="O81" s="476">
        <v>0</v>
      </c>
      <c r="P81" s="477"/>
      <c r="Q81" s="477">
        <v>0</v>
      </c>
      <c r="R81" s="477"/>
      <c r="S81" s="477">
        <v>0</v>
      </c>
      <c r="T81" s="477"/>
      <c r="U81" s="477">
        <v>0</v>
      </c>
      <c r="V81" s="477"/>
      <c r="W81" s="477">
        <v>0</v>
      </c>
      <c r="X81" s="477">
        <v>30182.73</v>
      </c>
      <c r="Y81" s="477">
        <v>30456.63</v>
      </c>
      <c r="Z81" s="477"/>
      <c r="AA81" s="477"/>
      <c r="AB81" s="477">
        <v>1994.03</v>
      </c>
      <c r="AC81" s="476">
        <f t="shared" si="14"/>
        <v>32450.66</v>
      </c>
      <c r="AD81" s="520"/>
      <c r="AE81" s="476">
        <f t="shared" si="10"/>
        <v>30182.73</v>
      </c>
      <c r="AF81" s="476">
        <f t="shared" si="11"/>
        <v>32450.66</v>
      </c>
      <c r="AG81" s="476">
        <f t="shared" si="15"/>
        <v>30182.73</v>
      </c>
      <c r="AH81" s="476">
        <f t="shared" si="13"/>
        <v>32450.66</v>
      </c>
      <c r="AI81" s="479" t="s">
        <v>405</v>
      </c>
    </row>
    <row r="82" spans="1:35" s="459" customFormat="1" ht="23.25" customHeight="1" x14ac:dyDescent="0.45">
      <c r="A82" s="515" t="s">
        <v>104</v>
      </c>
      <c r="B82" s="474">
        <f>'2015-2016'!AC82</f>
        <v>19279.3</v>
      </c>
      <c r="C82" s="475"/>
      <c r="D82" s="474"/>
      <c r="E82" s="481">
        <v>0</v>
      </c>
      <c r="F82" s="481"/>
      <c r="G82" s="481">
        <v>0</v>
      </c>
      <c r="H82" s="481"/>
      <c r="I82" s="481">
        <v>0</v>
      </c>
      <c r="J82" s="481"/>
      <c r="K82" s="482">
        <v>0</v>
      </c>
      <c r="L82" s="482"/>
      <c r="M82" s="482">
        <v>0</v>
      </c>
      <c r="N82" s="482"/>
      <c r="O82" s="476">
        <v>0</v>
      </c>
      <c r="P82" s="477"/>
      <c r="Q82" s="477">
        <v>0</v>
      </c>
      <c r="R82" s="477"/>
      <c r="S82" s="477">
        <v>0</v>
      </c>
      <c r="T82" s="477"/>
      <c r="U82" s="477">
        <v>0</v>
      </c>
      <c r="V82" s="477"/>
      <c r="W82" s="477">
        <v>0</v>
      </c>
      <c r="X82" s="477"/>
      <c r="Y82" s="477">
        <v>0</v>
      </c>
      <c r="Z82" s="477"/>
      <c r="AA82" s="477"/>
      <c r="AB82" s="477"/>
      <c r="AC82" s="476">
        <f t="shared" si="14"/>
        <v>19279.3</v>
      </c>
      <c r="AD82" s="520"/>
      <c r="AE82" s="476">
        <f t="shared" si="10"/>
        <v>19279.3</v>
      </c>
      <c r="AF82" s="476">
        <f t="shared" si="11"/>
        <v>0</v>
      </c>
      <c r="AG82" s="476">
        <f t="shared" si="15"/>
        <v>0</v>
      </c>
      <c r="AH82" s="476">
        <f t="shared" si="13"/>
        <v>19279.3</v>
      </c>
      <c r="AI82" s="479" t="s">
        <v>405</v>
      </c>
    </row>
    <row r="83" spans="1:35" s="459" customFormat="1" ht="23.25" customHeight="1" x14ac:dyDescent="0.45">
      <c r="A83" s="689" t="s">
        <v>316</v>
      </c>
      <c r="B83" s="474">
        <f>'2015-2016'!AC83</f>
        <v>17265.66</v>
      </c>
      <c r="C83" s="475"/>
      <c r="D83" s="474"/>
      <c r="E83" s="481">
        <v>0</v>
      </c>
      <c r="F83" s="481"/>
      <c r="G83" s="481">
        <v>0</v>
      </c>
      <c r="H83" s="481"/>
      <c r="I83" s="481">
        <v>0</v>
      </c>
      <c r="J83" s="481"/>
      <c r="K83" s="482">
        <v>0</v>
      </c>
      <c r="L83" s="482"/>
      <c r="M83" s="482">
        <v>0</v>
      </c>
      <c r="N83" s="482"/>
      <c r="O83" s="476">
        <v>0</v>
      </c>
      <c r="P83" s="477"/>
      <c r="Q83" s="477">
        <v>0</v>
      </c>
      <c r="R83" s="477"/>
      <c r="S83" s="477">
        <v>0</v>
      </c>
      <c r="T83" s="477"/>
      <c r="U83" s="477">
        <v>0</v>
      </c>
      <c r="V83" s="477"/>
      <c r="W83" s="477">
        <v>0</v>
      </c>
      <c r="X83" s="477"/>
      <c r="Y83" s="477">
        <v>0</v>
      </c>
      <c r="Z83" s="477"/>
      <c r="AA83" s="477"/>
      <c r="AB83" s="477"/>
      <c r="AC83" s="476">
        <f t="shared" si="14"/>
        <v>17265.66</v>
      </c>
      <c r="AD83" s="520"/>
      <c r="AE83" s="476">
        <f t="shared" si="10"/>
        <v>17265.66</v>
      </c>
      <c r="AF83" s="476">
        <f t="shared" si="11"/>
        <v>0</v>
      </c>
      <c r="AG83" s="476">
        <f t="shared" si="15"/>
        <v>0</v>
      </c>
      <c r="AH83" s="476">
        <f t="shared" si="13"/>
        <v>17265.66</v>
      </c>
      <c r="AI83" s="479" t="s">
        <v>405</v>
      </c>
    </row>
    <row r="84" spans="1:35" s="459" customFormat="1" ht="23.25" customHeight="1" x14ac:dyDescent="0.45">
      <c r="A84" s="689" t="s">
        <v>72</v>
      </c>
      <c r="B84" s="474">
        <f>'2015-2016'!AC84</f>
        <v>58579.919999999925</v>
      </c>
      <c r="C84" s="475"/>
      <c r="D84" s="474"/>
      <c r="E84" s="481">
        <v>9665</v>
      </c>
      <c r="F84" s="481"/>
      <c r="G84" s="481">
        <v>11315.24</v>
      </c>
      <c r="H84" s="481"/>
      <c r="I84" s="481">
        <v>9665</v>
      </c>
      <c r="J84" s="481"/>
      <c r="K84" s="482">
        <v>4907</v>
      </c>
      <c r="L84" s="482">
        <f>9665+4907</f>
        <v>14572</v>
      </c>
      <c r="M84" s="482">
        <v>4907</v>
      </c>
      <c r="N84" s="482"/>
      <c r="O84" s="476">
        <v>4907</v>
      </c>
      <c r="P84" s="477">
        <f>4907</f>
        <v>4907</v>
      </c>
      <c r="Q84" s="477">
        <v>4907</v>
      </c>
      <c r="R84" s="477">
        <f>4907+4907</f>
        <v>9814</v>
      </c>
      <c r="S84" s="477">
        <v>4907</v>
      </c>
      <c r="T84" s="477"/>
      <c r="U84" s="477">
        <v>4907</v>
      </c>
      <c r="V84" s="477"/>
      <c r="W84" s="477">
        <v>0</v>
      </c>
      <c r="X84" s="477">
        <v>4907</v>
      </c>
      <c r="Y84" s="477">
        <v>0</v>
      </c>
      <c r="Z84" s="477"/>
      <c r="AA84" s="477"/>
      <c r="AB84" s="477"/>
      <c r="AC84" s="476">
        <f t="shared" si="14"/>
        <v>84467.159999999931</v>
      </c>
      <c r="AD84" s="520"/>
      <c r="AE84" s="476">
        <f t="shared" si="10"/>
        <v>58579.919999999925</v>
      </c>
      <c r="AF84" s="476">
        <f t="shared" si="11"/>
        <v>60087.24</v>
      </c>
      <c r="AG84" s="476">
        <f t="shared" si="15"/>
        <v>34200</v>
      </c>
      <c r="AH84" s="476">
        <f t="shared" si="13"/>
        <v>84467.159999999916</v>
      </c>
      <c r="AI84" s="479" t="s">
        <v>431</v>
      </c>
    </row>
    <row r="85" spans="1:35" s="459" customFormat="1" ht="23.25" customHeight="1" x14ac:dyDescent="0.45">
      <c r="A85" s="689" t="s">
        <v>192</v>
      </c>
      <c r="B85" s="474">
        <f>'2015-2016'!AC85</f>
        <v>14167.500000000002</v>
      </c>
      <c r="C85" s="475"/>
      <c r="D85" s="474"/>
      <c r="E85" s="481">
        <v>0</v>
      </c>
      <c r="F85" s="481"/>
      <c r="G85" s="481">
        <v>0</v>
      </c>
      <c r="H85" s="481"/>
      <c r="I85" s="481">
        <v>0</v>
      </c>
      <c r="J85" s="481"/>
      <c r="K85" s="482">
        <v>0</v>
      </c>
      <c r="L85" s="482"/>
      <c r="M85" s="482">
        <v>0</v>
      </c>
      <c r="N85" s="482"/>
      <c r="O85" s="476">
        <v>0</v>
      </c>
      <c r="P85" s="477"/>
      <c r="Q85" s="477">
        <v>0</v>
      </c>
      <c r="R85" s="477"/>
      <c r="S85" s="477">
        <v>0</v>
      </c>
      <c r="T85" s="477"/>
      <c r="U85" s="477">
        <v>0</v>
      </c>
      <c r="V85" s="477"/>
      <c r="W85" s="477">
        <v>0</v>
      </c>
      <c r="X85" s="477"/>
      <c r="Y85" s="477">
        <v>0</v>
      </c>
      <c r="Z85" s="477"/>
      <c r="AA85" s="477"/>
      <c r="AB85" s="477"/>
      <c r="AC85" s="476">
        <f t="shared" si="14"/>
        <v>14167.500000000002</v>
      </c>
      <c r="AD85" s="520"/>
      <c r="AE85" s="476">
        <f t="shared" si="10"/>
        <v>14167.500000000002</v>
      </c>
      <c r="AF85" s="476">
        <f t="shared" si="11"/>
        <v>0</v>
      </c>
      <c r="AG85" s="476">
        <f t="shared" si="15"/>
        <v>0</v>
      </c>
      <c r="AH85" s="476">
        <f t="shared" si="13"/>
        <v>14167.500000000002</v>
      </c>
      <c r="AI85" s="479" t="s">
        <v>405</v>
      </c>
    </row>
    <row r="86" spans="1:35" s="459" customFormat="1" ht="23.25" customHeight="1" x14ac:dyDescent="0.45">
      <c r="A86" s="689" t="s">
        <v>80</v>
      </c>
      <c r="B86" s="474">
        <f>'2015-2016'!AC86</f>
        <v>11865.605999999996</v>
      </c>
      <c r="C86" s="475"/>
      <c r="D86" s="474"/>
      <c r="E86" s="481">
        <v>23203.66</v>
      </c>
      <c r="F86" s="481">
        <v>32707.16</v>
      </c>
      <c r="G86" s="481">
        <v>9473.2999999999993</v>
      </c>
      <c r="H86" s="481">
        <v>9473.2999999999993</v>
      </c>
      <c r="I86" s="481">
        <v>9023.64</v>
      </c>
      <c r="J86" s="481">
        <v>9023.64</v>
      </c>
      <c r="K86" s="482">
        <v>9446.0499999999993</v>
      </c>
      <c r="L86" s="482">
        <v>9446.0499999999993</v>
      </c>
      <c r="M86" s="482">
        <v>21346.7</v>
      </c>
      <c r="N86" s="482"/>
      <c r="O86" s="476">
        <v>9418.73</v>
      </c>
      <c r="P86" s="477">
        <f>21346.7+9418.73</f>
        <v>30765.43</v>
      </c>
      <c r="Q86" s="477">
        <v>9491.23</v>
      </c>
      <c r="R86" s="477">
        <v>9491.23</v>
      </c>
      <c r="S86" s="477">
        <v>8987.9</v>
      </c>
      <c r="T86" s="477">
        <v>8987.9</v>
      </c>
      <c r="U86" s="477">
        <v>9502.5400000000009</v>
      </c>
      <c r="V86" s="477">
        <v>9502.5400000000009</v>
      </c>
      <c r="W86" s="477">
        <v>-3948.9</v>
      </c>
      <c r="X86" s="477"/>
      <c r="Y86" s="477">
        <v>9520.65</v>
      </c>
      <c r="Z86" s="477">
        <f>9520.65</f>
        <v>9520.65</v>
      </c>
      <c r="AA86" s="477">
        <v>8490</v>
      </c>
      <c r="AB86" s="477">
        <v>532.65</v>
      </c>
      <c r="AC86" s="476">
        <f t="shared" si="14"/>
        <v>7435.8559999999925</v>
      </c>
      <c r="AD86" s="520"/>
      <c r="AE86" s="476">
        <f t="shared" si="10"/>
        <v>11865.605999999996</v>
      </c>
      <c r="AF86" s="476">
        <f t="shared" si="11"/>
        <v>124488.14999999997</v>
      </c>
      <c r="AG86" s="476">
        <f t="shared" si="15"/>
        <v>128917.89999999997</v>
      </c>
      <c r="AH86" s="476">
        <f t="shared" si="13"/>
        <v>7435.8559999999998</v>
      </c>
      <c r="AI86" s="479" t="s">
        <v>391</v>
      </c>
    </row>
    <row r="87" spans="1:35" s="459" customFormat="1" ht="23.25" customHeight="1" x14ac:dyDescent="0.45">
      <c r="A87" s="689" t="s">
        <v>432</v>
      </c>
      <c r="B87" s="474">
        <f>'2015-2016'!AC87</f>
        <v>7899.08</v>
      </c>
      <c r="C87" s="475"/>
      <c r="D87" s="474"/>
      <c r="E87" s="481">
        <v>0</v>
      </c>
      <c r="F87" s="481"/>
      <c r="G87" s="481">
        <v>0</v>
      </c>
      <c r="H87" s="481"/>
      <c r="I87" s="481">
        <v>0</v>
      </c>
      <c r="J87" s="481"/>
      <c r="K87" s="482">
        <v>0</v>
      </c>
      <c r="L87" s="482"/>
      <c r="M87" s="482">
        <v>0</v>
      </c>
      <c r="N87" s="482"/>
      <c r="O87" s="476">
        <v>0</v>
      </c>
      <c r="P87" s="477"/>
      <c r="Q87" s="477">
        <v>0</v>
      </c>
      <c r="R87" s="477"/>
      <c r="S87" s="477">
        <v>0</v>
      </c>
      <c r="T87" s="477"/>
      <c r="U87" s="477">
        <v>0</v>
      </c>
      <c r="V87" s="477"/>
      <c r="W87" s="477">
        <v>0</v>
      </c>
      <c r="X87" s="477"/>
      <c r="Y87" s="477">
        <v>0</v>
      </c>
      <c r="Z87" s="477"/>
      <c r="AA87" s="477"/>
      <c r="AB87" s="477"/>
      <c r="AC87" s="476">
        <f t="shared" si="14"/>
        <v>7899.08</v>
      </c>
      <c r="AD87" s="520"/>
      <c r="AE87" s="476">
        <f t="shared" si="10"/>
        <v>7899.08</v>
      </c>
      <c r="AF87" s="476">
        <f t="shared" si="11"/>
        <v>0</v>
      </c>
      <c r="AG87" s="476">
        <f t="shared" si="15"/>
        <v>0</v>
      </c>
      <c r="AH87" s="476">
        <f t="shared" si="13"/>
        <v>7899.08</v>
      </c>
      <c r="AI87" s="479" t="s">
        <v>405</v>
      </c>
    </row>
    <row r="88" spans="1:35" s="459" customFormat="1" ht="23.25" customHeight="1" x14ac:dyDescent="0.45">
      <c r="A88" s="516" t="s">
        <v>92</v>
      </c>
      <c r="B88" s="474">
        <f>'2015-2016'!AC88</f>
        <v>873.27</v>
      </c>
      <c r="C88" s="475"/>
      <c r="D88" s="474"/>
      <c r="E88" s="481">
        <v>0</v>
      </c>
      <c r="F88" s="481"/>
      <c r="G88" s="481">
        <v>0</v>
      </c>
      <c r="H88" s="481"/>
      <c r="I88" s="481">
        <v>0</v>
      </c>
      <c r="J88" s="481"/>
      <c r="K88" s="482">
        <v>0</v>
      </c>
      <c r="L88" s="482"/>
      <c r="M88" s="482">
        <v>0</v>
      </c>
      <c r="N88" s="482"/>
      <c r="O88" s="476">
        <v>0</v>
      </c>
      <c r="P88" s="477"/>
      <c r="Q88" s="477">
        <v>0</v>
      </c>
      <c r="R88" s="477"/>
      <c r="S88" s="477">
        <v>0</v>
      </c>
      <c r="T88" s="477"/>
      <c r="U88" s="477">
        <v>0</v>
      </c>
      <c r="V88" s="477"/>
      <c r="W88" s="477">
        <v>0</v>
      </c>
      <c r="X88" s="477"/>
      <c r="Y88" s="477">
        <v>0</v>
      </c>
      <c r="Z88" s="477"/>
      <c r="AA88" s="477"/>
      <c r="AB88" s="477"/>
      <c r="AC88" s="476">
        <f t="shared" si="14"/>
        <v>873.27</v>
      </c>
      <c r="AD88" s="520"/>
      <c r="AE88" s="476">
        <f t="shared" si="10"/>
        <v>873.27</v>
      </c>
      <c r="AF88" s="476">
        <f t="shared" si="11"/>
        <v>0</v>
      </c>
      <c r="AG88" s="476">
        <f t="shared" si="15"/>
        <v>0</v>
      </c>
      <c r="AH88" s="476">
        <f t="shared" si="13"/>
        <v>873.27</v>
      </c>
      <c r="AI88" s="479" t="s">
        <v>405</v>
      </c>
    </row>
    <row r="89" spans="1:35" s="459" customFormat="1" ht="30.75" customHeight="1" x14ac:dyDescent="0.45">
      <c r="A89" s="483" t="s">
        <v>313</v>
      </c>
      <c r="B89" s="474">
        <f>'2015-2016'!AC89</f>
        <v>652.48</v>
      </c>
      <c r="C89" s="475"/>
      <c r="D89" s="474"/>
      <c r="E89" s="481">
        <v>0</v>
      </c>
      <c r="F89" s="481"/>
      <c r="G89" s="481">
        <v>0</v>
      </c>
      <c r="H89" s="481"/>
      <c r="I89" s="481">
        <v>0</v>
      </c>
      <c r="J89" s="481"/>
      <c r="K89" s="482">
        <v>0</v>
      </c>
      <c r="L89" s="482"/>
      <c r="M89" s="482">
        <v>740.67</v>
      </c>
      <c r="N89" s="482"/>
      <c r="O89" s="476">
        <v>688.03</v>
      </c>
      <c r="P89" s="477"/>
      <c r="Q89" s="477">
        <v>0</v>
      </c>
      <c r="R89" s="477"/>
      <c r="S89" s="477">
        <v>0</v>
      </c>
      <c r="T89" s="477"/>
      <c r="U89" s="477">
        <v>0</v>
      </c>
      <c r="V89" s="477"/>
      <c r="W89" s="477">
        <v>0</v>
      </c>
      <c r="X89" s="477"/>
      <c r="Y89" s="477">
        <v>0</v>
      </c>
      <c r="Z89" s="477"/>
      <c r="AA89" s="477"/>
      <c r="AB89" s="477"/>
      <c r="AC89" s="476">
        <f t="shared" si="14"/>
        <v>2081.1800000000003</v>
      </c>
      <c r="AD89" s="520"/>
      <c r="AE89" s="476">
        <f t="shared" si="10"/>
        <v>652.48</v>
      </c>
      <c r="AF89" s="476">
        <f t="shared" si="11"/>
        <v>1428.6999999999998</v>
      </c>
      <c r="AG89" s="476">
        <f t="shared" si="15"/>
        <v>0</v>
      </c>
      <c r="AH89" s="476">
        <f t="shared" si="13"/>
        <v>2081.1799999999998</v>
      </c>
      <c r="AI89" s="479" t="s">
        <v>405</v>
      </c>
    </row>
    <row r="90" spans="1:35" s="459" customFormat="1" ht="23.25" customHeight="1" x14ac:dyDescent="0.45">
      <c r="A90" s="689" t="s">
        <v>188</v>
      </c>
      <c r="B90" s="474">
        <f>'2015-2016'!AC90</f>
        <v>1762.4</v>
      </c>
      <c r="C90" s="475"/>
      <c r="D90" s="474"/>
      <c r="E90" s="481">
        <v>0</v>
      </c>
      <c r="F90" s="481"/>
      <c r="G90" s="481">
        <v>0</v>
      </c>
      <c r="H90" s="481"/>
      <c r="I90" s="481">
        <v>0</v>
      </c>
      <c r="J90" s="481"/>
      <c r="K90" s="482">
        <v>0</v>
      </c>
      <c r="L90" s="482"/>
      <c r="M90" s="482">
        <v>0</v>
      </c>
      <c r="N90" s="482"/>
      <c r="O90" s="476">
        <v>0</v>
      </c>
      <c r="P90" s="477"/>
      <c r="Q90" s="477">
        <v>0</v>
      </c>
      <c r="R90" s="477"/>
      <c r="S90" s="477">
        <v>0</v>
      </c>
      <c r="T90" s="477"/>
      <c r="U90" s="477">
        <v>0</v>
      </c>
      <c r="V90" s="477"/>
      <c r="W90" s="477">
        <v>0</v>
      </c>
      <c r="X90" s="477"/>
      <c r="Y90" s="477">
        <v>0</v>
      </c>
      <c r="Z90" s="477"/>
      <c r="AA90" s="477"/>
      <c r="AB90" s="477"/>
      <c r="AC90" s="476">
        <f t="shared" si="14"/>
        <v>1762.4</v>
      </c>
      <c r="AD90" s="520"/>
      <c r="AE90" s="476">
        <f t="shared" si="10"/>
        <v>1762.4</v>
      </c>
      <c r="AF90" s="476">
        <f t="shared" si="11"/>
        <v>0</v>
      </c>
      <c r="AG90" s="476">
        <f t="shared" si="15"/>
        <v>0</v>
      </c>
      <c r="AH90" s="476">
        <f t="shared" si="13"/>
        <v>1762.4</v>
      </c>
      <c r="AI90" s="479" t="s">
        <v>405</v>
      </c>
    </row>
    <row r="91" spans="1:35" s="459" customFormat="1" ht="23.25" customHeight="1" x14ac:dyDescent="0.45">
      <c r="A91" s="514" t="s">
        <v>152</v>
      </c>
      <c r="B91" s="474">
        <f>'2015-2016'!AC91</f>
        <v>2</v>
      </c>
      <c r="C91" s="475"/>
      <c r="D91" s="474"/>
      <c r="E91" s="481">
        <v>0</v>
      </c>
      <c r="F91" s="481"/>
      <c r="G91" s="474">
        <v>0</v>
      </c>
      <c r="H91" s="481"/>
      <c r="I91" s="481">
        <v>0</v>
      </c>
      <c r="J91" s="481"/>
      <c r="K91" s="482">
        <v>0</v>
      </c>
      <c r="L91" s="482"/>
      <c r="M91" s="482">
        <v>0</v>
      </c>
      <c r="N91" s="482"/>
      <c r="O91" s="476">
        <v>0</v>
      </c>
      <c r="P91" s="477"/>
      <c r="Q91" s="477">
        <v>0</v>
      </c>
      <c r="R91" s="477"/>
      <c r="S91" s="477">
        <v>0</v>
      </c>
      <c r="T91" s="477"/>
      <c r="U91" s="477">
        <v>0</v>
      </c>
      <c r="V91" s="477"/>
      <c r="W91" s="477">
        <v>0</v>
      </c>
      <c r="X91" s="477"/>
      <c r="Y91" s="477">
        <v>0</v>
      </c>
      <c r="Z91" s="477"/>
      <c r="AA91" s="477"/>
      <c r="AB91" s="477"/>
      <c r="AC91" s="476">
        <f t="shared" si="14"/>
        <v>2</v>
      </c>
      <c r="AD91" s="520"/>
      <c r="AE91" s="476">
        <f t="shared" si="10"/>
        <v>2</v>
      </c>
      <c r="AF91" s="476">
        <f t="shared" si="11"/>
        <v>0</v>
      </c>
      <c r="AG91" s="476">
        <f t="shared" si="15"/>
        <v>0</v>
      </c>
      <c r="AH91" s="476">
        <f t="shared" si="13"/>
        <v>2</v>
      </c>
      <c r="AI91" s="479" t="s">
        <v>405</v>
      </c>
    </row>
    <row r="92" spans="1:35" s="459" customFormat="1" ht="23.25" customHeight="1" x14ac:dyDescent="0.45">
      <c r="A92" s="517" t="s">
        <v>76</v>
      </c>
      <c r="B92" s="474">
        <f>'2015-2016'!AC92</f>
        <v>1.1641532182693481E-10</v>
      </c>
      <c r="C92" s="484"/>
      <c r="D92" s="485"/>
      <c r="E92" s="474">
        <v>0</v>
      </c>
      <c r="F92" s="474"/>
      <c r="G92" s="474">
        <v>0</v>
      </c>
      <c r="H92" s="481"/>
      <c r="I92" s="481">
        <v>0</v>
      </c>
      <c r="J92" s="481"/>
      <c r="K92" s="482">
        <v>0</v>
      </c>
      <c r="L92" s="482"/>
      <c r="M92" s="482">
        <v>-6676.28</v>
      </c>
      <c r="N92" s="482"/>
      <c r="O92" s="476">
        <v>0</v>
      </c>
      <c r="P92" s="477"/>
      <c r="Q92" s="477">
        <v>0</v>
      </c>
      <c r="R92" s="477"/>
      <c r="S92" s="477">
        <v>0</v>
      </c>
      <c r="T92" s="477"/>
      <c r="U92" s="477">
        <v>0</v>
      </c>
      <c r="V92" s="477"/>
      <c r="W92" s="477">
        <v>0</v>
      </c>
      <c r="X92" s="477"/>
      <c r="Y92" s="477">
        <v>0</v>
      </c>
      <c r="Z92" s="477"/>
      <c r="AA92" s="477"/>
      <c r="AB92" s="477"/>
      <c r="AC92" s="476">
        <f t="shared" si="14"/>
        <v>-6676.2799999998833</v>
      </c>
      <c r="AD92" s="520"/>
      <c r="AE92" s="476">
        <f t="shared" si="10"/>
        <v>1.1641532182693481E-10</v>
      </c>
      <c r="AF92" s="476">
        <f t="shared" si="11"/>
        <v>-6676.28</v>
      </c>
      <c r="AG92" s="476">
        <f t="shared" si="15"/>
        <v>0</v>
      </c>
      <c r="AH92" s="476">
        <f t="shared" si="13"/>
        <v>-6676.2799999998833</v>
      </c>
      <c r="AI92" s="479" t="s">
        <v>424</v>
      </c>
    </row>
    <row r="93" spans="1:35" s="459" customFormat="1" ht="23.25" customHeight="1" x14ac:dyDescent="0.45">
      <c r="A93" s="694" t="s">
        <v>61</v>
      </c>
      <c r="B93" s="474">
        <f>'2015-2016'!AC94</f>
        <v>150721.38999999984</v>
      </c>
      <c r="C93" s="484"/>
      <c r="D93" s="485"/>
      <c r="E93" s="485">
        <v>124936.36</v>
      </c>
      <c r="F93" s="488">
        <f>9020+61642.74+46099.5+9823+1673.9+1994.45+9823</f>
        <v>140076.58999999997</v>
      </c>
      <c r="G93" s="489">
        <v>128058.15</v>
      </c>
      <c r="H93" s="489">
        <f>63105.94+574.39+15374.05+133.9+33930.18+9823+1764.55+57902.75</f>
        <v>182608.76</v>
      </c>
      <c r="I93" s="489">
        <v>130808.09</v>
      </c>
      <c r="J93" s="489">
        <f>8388.5+19457.63+69.5+20299.13+61599.89+46150.5</f>
        <v>155965.15</v>
      </c>
      <c r="K93" s="482">
        <v>137378.91</v>
      </c>
      <c r="L93" s="482">
        <f>36996.3+52582.67+11099.89+9020+16637.07+7809.55</f>
        <v>134145.47999999998</v>
      </c>
      <c r="M93" s="482">
        <v>177883.87</v>
      </c>
      <c r="N93" s="482">
        <f>2146.96+303.5+782.7</f>
        <v>3233.16</v>
      </c>
      <c r="O93" s="476">
        <v>144275.23000000001</v>
      </c>
      <c r="P93" s="477">
        <f>46336+11537.2+10611.35+9557.81+26371.95+24222+77277.28+44959.15+8070.83</f>
        <v>258943.56999999998</v>
      </c>
      <c r="Q93" s="477">
        <v>137416.04</v>
      </c>
      <c r="R93" s="477">
        <f>16190.35+38265.79+73292.24+17183.68+9208</f>
        <v>154140.06</v>
      </c>
      <c r="S93" s="477">
        <v>193403.8</v>
      </c>
      <c r="T93" s="477"/>
      <c r="U93" s="477">
        <v>165054.16</v>
      </c>
      <c r="V93" s="477">
        <f>6630+19294.34+62831.14+138.5</f>
        <v>88893.98</v>
      </c>
      <c r="W93" s="477">
        <v>123711.34</v>
      </c>
      <c r="X93" s="477">
        <f>71044+33196.32+47713.41+87049.34+510.5+18309.18+11471.73+147648.53+9367+1087.4</f>
        <v>427397.41000000003</v>
      </c>
      <c r="Y93" s="477">
        <v>157489.21</v>
      </c>
      <c r="Z93" s="528">
        <v>271060.20999999996</v>
      </c>
      <c r="AA93" s="477">
        <v>120192</v>
      </c>
      <c r="AB93" s="477">
        <v>36203.339999999997</v>
      </c>
      <c r="AC93" s="476">
        <f t="shared" si="14"/>
        <v>111067.51999999984</v>
      </c>
      <c r="AD93" s="520"/>
      <c r="AE93" s="476">
        <f t="shared" si="10"/>
        <v>150721.38999999984</v>
      </c>
      <c r="AF93" s="476">
        <f t="shared" si="11"/>
        <v>1776810.5</v>
      </c>
      <c r="AG93" s="476">
        <f t="shared" si="15"/>
        <v>1816464.37</v>
      </c>
      <c r="AH93" s="476">
        <f t="shared" si="13"/>
        <v>111067.51999999979</v>
      </c>
      <c r="AI93" s="479" t="s">
        <v>419</v>
      </c>
    </row>
    <row r="94" spans="1:35" s="459" customFormat="1" ht="23.25" customHeight="1" x14ac:dyDescent="0.45">
      <c r="A94" s="694" t="s">
        <v>70</v>
      </c>
      <c r="B94" s="474">
        <f>'2015-2016'!AC95</f>
        <v>1112443.6999999995</v>
      </c>
      <c r="C94" s="484"/>
      <c r="D94" s="485">
        <v>146566.97</v>
      </c>
      <c r="E94" s="485">
        <v>706748.49</v>
      </c>
      <c r="F94" s="485"/>
      <c r="G94" s="485">
        <v>169822.61</v>
      </c>
      <c r="H94" s="485">
        <f>706748.49</f>
        <v>706748.49</v>
      </c>
      <c r="I94" s="485">
        <v>154783.79999999999</v>
      </c>
      <c r="J94" s="474">
        <v>169822.61</v>
      </c>
      <c r="K94" s="482">
        <v>164722.49</v>
      </c>
      <c r="L94" s="482">
        <f>154783.8</f>
        <v>154783.79999999999</v>
      </c>
      <c r="M94" s="482">
        <v>385476.03</v>
      </c>
      <c r="N94" s="482">
        <v>164722.49</v>
      </c>
      <c r="O94" s="476">
        <v>183861.13</v>
      </c>
      <c r="P94" s="477">
        <f>81832.53</f>
        <v>81832.53</v>
      </c>
      <c r="Q94" s="477">
        <v>232377.63</v>
      </c>
      <c r="R94" s="477">
        <f>183861.13+232377.63</f>
        <v>416238.76</v>
      </c>
      <c r="S94" s="477">
        <v>622095.01</v>
      </c>
      <c r="T94" s="477">
        <f>517696.88</f>
        <v>517696.88</v>
      </c>
      <c r="U94" s="477">
        <v>184449.18</v>
      </c>
      <c r="V94" s="477"/>
      <c r="W94" s="477">
        <v>-860968.85</v>
      </c>
      <c r="X94" s="477">
        <f>184449.18</f>
        <v>184449.18</v>
      </c>
      <c r="Y94" s="477">
        <v>189869.67</v>
      </c>
      <c r="Z94" s="477"/>
      <c r="AA94" s="477">
        <v>165100.85</v>
      </c>
      <c r="AB94" s="477">
        <v>137198.31</v>
      </c>
      <c r="AC94" s="476">
        <f t="shared" si="14"/>
        <v>1005118.3399999999</v>
      </c>
      <c r="AD94" s="520"/>
      <c r="AE94" s="476">
        <f t="shared" si="10"/>
        <v>1112443.6999999995</v>
      </c>
      <c r="AF94" s="476">
        <f t="shared" si="11"/>
        <v>2435536.3499999996</v>
      </c>
      <c r="AG94" s="476">
        <f t="shared" si="15"/>
        <v>2542861.71</v>
      </c>
      <c r="AH94" s="476">
        <f t="shared" si="13"/>
        <v>1005118.3399999989</v>
      </c>
      <c r="AI94" s="479" t="s">
        <v>419</v>
      </c>
    </row>
    <row r="95" spans="1:35" s="459" customFormat="1" ht="23.25" customHeight="1" x14ac:dyDescent="0.45">
      <c r="A95" s="694" t="s">
        <v>58</v>
      </c>
      <c r="B95" s="474">
        <f>'2015-2016'!AC96</f>
        <v>483988.33999999973</v>
      </c>
      <c r="C95" s="484"/>
      <c r="D95" s="485"/>
      <c r="E95" s="485">
        <v>798652.3</v>
      </c>
      <c r="F95" s="485"/>
      <c r="G95" s="485">
        <v>719062.24</v>
      </c>
      <c r="H95" s="485">
        <f>798652.3+132978.34+719062.24</f>
        <v>1650692.88</v>
      </c>
      <c r="I95" s="485">
        <v>498911.99</v>
      </c>
      <c r="J95" s="485">
        <f>498911.99+338853.57</f>
        <v>837765.56</v>
      </c>
      <c r="K95" s="487">
        <v>568388.53</v>
      </c>
      <c r="L95" s="474"/>
      <c r="M95" s="474">
        <v>679427.08</v>
      </c>
      <c r="N95" s="481">
        <v>568388.53</v>
      </c>
      <c r="O95" s="476">
        <v>601218.93000000005</v>
      </c>
      <c r="P95" s="477">
        <v>832522.56</v>
      </c>
      <c r="Q95" s="477">
        <v>604219.21</v>
      </c>
      <c r="R95" s="477">
        <f>604219.21+601218.93</f>
        <v>1205438.1400000001</v>
      </c>
      <c r="S95" s="477">
        <v>616247.98</v>
      </c>
      <c r="T95" s="477"/>
      <c r="U95" s="477">
        <v>588372.61</v>
      </c>
      <c r="V95" s="477">
        <v>616247.98</v>
      </c>
      <c r="W95" s="477">
        <v>472113.97</v>
      </c>
      <c r="X95" s="477">
        <f>588372.61+472113.97</f>
        <v>1060486.58</v>
      </c>
      <c r="Y95" s="477">
        <v>585269.80000000005</v>
      </c>
      <c r="Z95" s="477">
        <f>444330.75+444713.88</f>
        <v>889044.63</v>
      </c>
      <c r="AA95" s="477">
        <v>444713.88</v>
      </c>
      <c r="AB95" s="477">
        <v>128072.55</v>
      </c>
      <c r="AC95" s="476">
        <f t="shared" si="14"/>
        <v>128072.54999999907</v>
      </c>
      <c r="AD95" s="520"/>
      <c r="AE95" s="476">
        <f t="shared" si="10"/>
        <v>483988.33999999973</v>
      </c>
      <c r="AF95" s="476">
        <f t="shared" si="11"/>
        <v>7304671.0699999994</v>
      </c>
      <c r="AG95" s="476">
        <f t="shared" si="15"/>
        <v>7660586.8600000003</v>
      </c>
      <c r="AH95" s="476">
        <f t="shared" si="13"/>
        <v>128072.54999999888</v>
      </c>
      <c r="AI95" s="479" t="s">
        <v>419</v>
      </c>
    </row>
    <row r="96" spans="1:35" s="459" customFormat="1" ht="23.25" customHeight="1" x14ac:dyDescent="0.45">
      <c r="A96" s="694" t="s">
        <v>194</v>
      </c>
      <c r="B96" s="474">
        <v>25879.119999999999</v>
      </c>
      <c r="C96" s="484"/>
      <c r="D96" s="485"/>
      <c r="E96" s="485">
        <v>0</v>
      </c>
      <c r="F96" s="485"/>
      <c r="G96" s="485">
        <v>0</v>
      </c>
      <c r="H96" s="485"/>
      <c r="I96" s="485">
        <v>0</v>
      </c>
      <c r="J96" s="485"/>
      <c r="K96" s="488">
        <v>0</v>
      </c>
      <c r="L96" s="487"/>
      <c r="M96" s="485">
        <v>-141115.41</v>
      </c>
      <c r="N96" s="486"/>
      <c r="O96" s="476">
        <v>0</v>
      </c>
      <c r="P96" s="477"/>
      <c r="Q96" s="477">
        <v>0</v>
      </c>
      <c r="R96" s="477"/>
      <c r="S96" s="477">
        <v>0</v>
      </c>
      <c r="T96" s="477"/>
      <c r="U96" s="477">
        <v>0</v>
      </c>
      <c r="V96" s="477"/>
      <c r="W96" s="477">
        <v>0</v>
      </c>
      <c r="X96" s="477"/>
      <c r="Y96" s="477">
        <v>0</v>
      </c>
      <c r="Z96" s="477"/>
      <c r="AA96" s="477"/>
      <c r="AB96" s="477"/>
      <c r="AC96" s="476">
        <f t="shared" si="14"/>
        <v>-115236.29000000001</v>
      </c>
      <c r="AD96" s="520"/>
      <c r="AE96" s="476">
        <f t="shared" si="10"/>
        <v>25879.119999999999</v>
      </c>
      <c r="AF96" s="476">
        <f t="shared" si="11"/>
        <v>-141115.41</v>
      </c>
      <c r="AG96" s="476">
        <f t="shared" si="15"/>
        <v>0</v>
      </c>
      <c r="AH96" s="476">
        <f t="shared" si="13"/>
        <v>-115236.29000000001</v>
      </c>
      <c r="AI96" s="479" t="s">
        <v>424</v>
      </c>
    </row>
    <row r="97" spans="1:35" s="459" customFormat="1" ht="23.25" customHeight="1" x14ac:dyDescent="0.45">
      <c r="A97" s="694" t="s">
        <v>27</v>
      </c>
      <c r="B97" s="474">
        <v>3089581.06</v>
      </c>
      <c r="C97" s="484"/>
      <c r="D97" s="485">
        <f>998681.22+319013.09</f>
        <v>1317694.31</v>
      </c>
      <c r="E97" s="485">
        <v>1359697.48</v>
      </c>
      <c r="F97" s="485">
        <v>1359697.48</v>
      </c>
      <c r="G97" s="485">
        <v>1356990.82</v>
      </c>
      <c r="H97" s="485">
        <v>1356990.82</v>
      </c>
      <c r="I97" s="485">
        <v>1847324.84</v>
      </c>
      <c r="J97" s="485"/>
      <c r="K97" s="485">
        <v>921302.28</v>
      </c>
      <c r="L97" s="485">
        <v>921302.28</v>
      </c>
      <c r="M97" s="485">
        <v>-2906512.6</v>
      </c>
      <c r="N97" s="485">
        <f>1847324.84</f>
        <v>1847324.84</v>
      </c>
      <c r="O97" s="476">
        <v>614870.22</v>
      </c>
      <c r="P97" s="477"/>
      <c r="Q97" s="477">
        <v>583458.19999999995</v>
      </c>
      <c r="R97" s="477">
        <f>533+1000.2</f>
        <v>1533.2</v>
      </c>
      <c r="S97" s="477">
        <v>552722.37</v>
      </c>
      <c r="T97" s="477">
        <v>1000.07</v>
      </c>
      <c r="U97" s="477">
        <v>489627.25</v>
      </c>
      <c r="V97" s="477"/>
      <c r="W97" s="477">
        <v>454466.76</v>
      </c>
      <c r="X97" s="477">
        <f>575.18+466.76</f>
        <v>1041.94</v>
      </c>
      <c r="Y97" s="477">
        <v>503790.07</v>
      </c>
      <c r="Z97" s="477">
        <v>288847.28000000003</v>
      </c>
      <c r="AA97" s="477">
        <v>384096.24</v>
      </c>
      <c r="AB97" s="477">
        <v>107464.24</v>
      </c>
      <c r="AC97" s="476">
        <f t="shared" si="14"/>
        <v>2263447.0099999998</v>
      </c>
      <c r="AD97" s="520"/>
      <c r="AE97" s="476">
        <f t="shared" si="10"/>
        <v>3089581.06</v>
      </c>
      <c r="AF97" s="476">
        <f t="shared" si="11"/>
        <v>6269298.1700000009</v>
      </c>
      <c r="AG97" s="476">
        <f t="shared" si="15"/>
        <v>7095432.2200000016</v>
      </c>
      <c r="AH97" s="476">
        <f t="shared" si="13"/>
        <v>2263447.0099999988</v>
      </c>
      <c r="AI97" s="479" t="s">
        <v>424</v>
      </c>
    </row>
    <row r="98" spans="1:35" s="459" customFormat="1" ht="23.25" customHeight="1" x14ac:dyDescent="0.45">
      <c r="A98" s="517" t="s">
        <v>339</v>
      </c>
      <c r="B98" s="474">
        <f>'2015-2016'!AC99</f>
        <v>142969.76999999999</v>
      </c>
      <c r="C98" s="475"/>
      <c r="D98" s="474"/>
      <c r="E98" s="474">
        <v>0</v>
      </c>
      <c r="F98" s="474"/>
      <c r="G98" s="474">
        <v>0</v>
      </c>
      <c r="H98" s="474"/>
      <c r="I98" s="474">
        <v>0</v>
      </c>
      <c r="J98" s="474"/>
      <c r="K98" s="474">
        <v>0</v>
      </c>
      <c r="L98" s="474"/>
      <c r="M98" s="474">
        <v>0</v>
      </c>
      <c r="N98" s="474"/>
      <c r="O98" s="476">
        <v>0</v>
      </c>
      <c r="P98" s="477"/>
      <c r="Q98" s="477">
        <v>0</v>
      </c>
      <c r="R98" s="477"/>
      <c r="S98" s="477">
        <v>0</v>
      </c>
      <c r="T98" s="477"/>
      <c r="U98" s="477">
        <v>0</v>
      </c>
      <c r="V98" s="477"/>
      <c r="W98" s="477">
        <v>0</v>
      </c>
      <c r="X98" s="477"/>
      <c r="Y98" s="477">
        <v>0</v>
      </c>
      <c r="Z98" s="477">
        <v>142969.76999999999</v>
      </c>
      <c r="AA98" s="477"/>
      <c r="AB98" s="477"/>
      <c r="AC98" s="476">
        <f t="shared" si="14"/>
        <v>0</v>
      </c>
      <c r="AD98" s="520"/>
      <c r="AE98" s="476">
        <f t="shared" si="10"/>
        <v>142969.76999999999</v>
      </c>
      <c r="AF98" s="476">
        <f t="shared" si="11"/>
        <v>0</v>
      </c>
      <c r="AG98" s="476">
        <f t="shared" si="15"/>
        <v>142969.76999999999</v>
      </c>
      <c r="AH98" s="476">
        <f t="shared" si="13"/>
        <v>0</v>
      </c>
      <c r="AI98" s="479" t="s">
        <v>405</v>
      </c>
    </row>
    <row r="99" spans="1:35" s="459" customFormat="1" ht="23.25" customHeight="1" x14ac:dyDescent="0.45">
      <c r="A99" s="517" t="s">
        <v>340</v>
      </c>
      <c r="B99" s="474">
        <f>'2015-2016'!AC100</f>
        <v>349464.0299999991</v>
      </c>
      <c r="C99" s="475"/>
      <c r="D99" s="474"/>
      <c r="E99" s="474">
        <v>414066.16</v>
      </c>
      <c r="F99" s="474">
        <v>432696.03</v>
      </c>
      <c r="G99" s="474">
        <v>434042.63</v>
      </c>
      <c r="H99" s="474">
        <f>414066.16+434042.63</f>
        <v>848108.79</v>
      </c>
      <c r="I99" s="474">
        <v>489828.03</v>
      </c>
      <c r="J99" s="474"/>
      <c r="K99" s="474">
        <v>544600.73</v>
      </c>
      <c r="L99" s="474">
        <f>489828.03</f>
        <v>489828.03</v>
      </c>
      <c r="M99" s="474">
        <v>570285.75</v>
      </c>
      <c r="N99" s="474">
        <v>544600.73</v>
      </c>
      <c r="O99" s="476">
        <v>644762.12</v>
      </c>
      <c r="P99" s="477">
        <v>570285.75</v>
      </c>
      <c r="Q99" s="477">
        <v>636153.56000000006</v>
      </c>
      <c r="R99" s="477"/>
      <c r="S99" s="477">
        <v>680031.87</v>
      </c>
      <c r="T99" s="477">
        <f>644762.12+636153.56</f>
        <v>1280915.6800000002</v>
      </c>
      <c r="U99" s="477">
        <v>522211.53</v>
      </c>
      <c r="V99" s="477">
        <f>522211.53</f>
        <v>522211.53</v>
      </c>
      <c r="W99" s="477">
        <v>500775.2</v>
      </c>
      <c r="X99" s="477">
        <f>680031.87+500775.2</f>
        <v>1180807.07</v>
      </c>
      <c r="Y99" s="477">
        <v>594831.23</v>
      </c>
      <c r="Z99" s="477">
        <v>594831.23</v>
      </c>
      <c r="AA99" s="477">
        <v>466478.36</v>
      </c>
      <c r="AB99" s="477"/>
      <c r="AC99" s="476">
        <f t="shared" si="14"/>
        <v>383246.35999999859</v>
      </c>
      <c r="AD99" s="520"/>
      <c r="AE99" s="476">
        <f t="shared" si="10"/>
        <v>349464.0299999991</v>
      </c>
      <c r="AF99" s="476">
        <f t="shared" si="11"/>
        <v>6498067.1700000009</v>
      </c>
      <c r="AG99" s="476">
        <f t="shared" si="15"/>
        <v>6464284.8399999999</v>
      </c>
      <c r="AH99" s="476">
        <f t="shared" si="13"/>
        <v>383246.36000000034</v>
      </c>
      <c r="AI99" s="479" t="s">
        <v>419</v>
      </c>
    </row>
    <row r="100" spans="1:35" s="459" customFormat="1" ht="23.25" customHeight="1" x14ac:dyDescent="0.45">
      <c r="A100" s="694" t="s">
        <v>341</v>
      </c>
      <c r="B100" s="474">
        <f>'2015-2016'!AC101</f>
        <v>7386346.3399999999</v>
      </c>
      <c r="C100" s="475"/>
      <c r="D100" s="474"/>
      <c r="E100" s="474">
        <v>6077527.0999999996</v>
      </c>
      <c r="F100" s="474"/>
      <c r="G100" s="474">
        <v>5515449.2999999998</v>
      </c>
      <c r="H100" s="474"/>
      <c r="I100" s="485">
        <v>29222918.699999999</v>
      </c>
      <c r="J100" s="485">
        <f>6077527.1+5515449.3</f>
        <v>11592976.399999999</v>
      </c>
      <c r="K100" s="485">
        <v>8717545.6699999999</v>
      </c>
      <c r="L100" s="485"/>
      <c r="M100" s="485">
        <v>16222797.58</v>
      </c>
      <c r="N100" s="485"/>
      <c r="O100" s="476">
        <f>7574108.39-434.78</f>
        <v>7573673.6099999994</v>
      </c>
      <c r="P100" s="477"/>
      <c r="Q100" s="477">
        <v>7888179.25</v>
      </c>
      <c r="R100" s="477">
        <v>9287996.1699999999</v>
      </c>
      <c r="S100" s="477">
        <v>7665419.9400000004</v>
      </c>
      <c r="T100" s="477"/>
      <c r="U100" s="477">
        <v>7678101.8499999996</v>
      </c>
      <c r="V100" s="477"/>
      <c r="W100" s="477">
        <v>4257879.08</v>
      </c>
      <c r="X100" s="477">
        <f>7888179.25+7665419.94+7735965.85</f>
        <v>23289565.039999999</v>
      </c>
      <c r="Y100" s="477">
        <v>7494168.4900000002</v>
      </c>
      <c r="Z100" s="528">
        <v>46492575.210000001</v>
      </c>
      <c r="AA100" s="477">
        <v>3661292.32</v>
      </c>
      <c r="AB100" s="477">
        <v>4204732.6500000004</v>
      </c>
      <c r="AC100" s="476">
        <f t="shared" si="14"/>
        <v>32902919.059999995</v>
      </c>
      <c r="AD100" s="520"/>
      <c r="AE100" s="476">
        <f t="shared" si="10"/>
        <v>7386346.3399999999</v>
      </c>
      <c r="AF100" s="476">
        <f t="shared" si="11"/>
        <v>116179685.53999998</v>
      </c>
      <c r="AG100" s="476">
        <f t="shared" si="15"/>
        <v>90663112.819999993</v>
      </c>
      <c r="AH100" s="476">
        <f t="shared" si="13"/>
        <v>32902919.059999987</v>
      </c>
      <c r="AI100" s="688" t="s">
        <v>433</v>
      </c>
    </row>
    <row r="101" spans="1:35" s="459" customFormat="1" ht="23.25" customHeight="1" x14ac:dyDescent="0.45">
      <c r="A101" s="517" t="s">
        <v>342</v>
      </c>
      <c r="B101" s="474">
        <f>'2015-2016'!AC102</f>
        <v>5842.51</v>
      </c>
      <c r="C101" s="475"/>
      <c r="D101" s="474"/>
      <c r="E101" s="474">
        <v>0</v>
      </c>
      <c r="F101" s="474"/>
      <c r="G101" s="474">
        <v>0</v>
      </c>
      <c r="H101" s="474"/>
      <c r="I101" s="474">
        <v>0</v>
      </c>
      <c r="J101" s="474"/>
      <c r="K101" s="474">
        <v>0</v>
      </c>
      <c r="L101" s="474"/>
      <c r="M101" s="474">
        <v>0</v>
      </c>
      <c r="N101" s="474"/>
      <c r="O101" s="476">
        <v>0</v>
      </c>
      <c r="P101" s="477"/>
      <c r="Q101" s="477">
        <v>0</v>
      </c>
      <c r="R101" s="477"/>
      <c r="S101" s="477">
        <v>0</v>
      </c>
      <c r="T101" s="477"/>
      <c r="U101" s="477">
        <v>0</v>
      </c>
      <c r="V101" s="477"/>
      <c r="W101" s="477">
        <v>-5842.51</v>
      </c>
      <c r="X101" s="477"/>
      <c r="Y101" s="477">
        <v>0</v>
      </c>
      <c r="Z101" s="477"/>
      <c r="AA101" s="477"/>
      <c r="AB101" s="477"/>
      <c r="AC101" s="476">
        <f t="shared" si="14"/>
        <v>0</v>
      </c>
      <c r="AD101" s="520"/>
      <c r="AE101" s="476">
        <f t="shared" si="10"/>
        <v>5842.51</v>
      </c>
      <c r="AF101" s="476">
        <f t="shared" si="11"/>
        <v>-5842.51</v>
      </c>
      <c r="AG101" s="476">
        <f t="shared" si="15"/>
        <v>0</v>
      </c>
      <c r="AH101" s="476">
        <f t="shared" si="13"/>
        <v>0</v>
      </c>
      <c r="AI101" s="479" t="s">
        <v>405</v>
      </c>
    </row>
    <row r="102" spans="1:35" s="459" customFormat="1" ht="23.25" customHeight="1" x14ac:dyDescent="0.45">
      <c r="A102" s="694" t="s">
        <v>369</v>
      </c>
      <c r="B102" s="474">
        <f>'2015-2016'!AC103</f>
        <v>2158.06</v>
      </c>
      <c r="C102" s="484"/>
      <c r="D102" s="485"/>
      <c r="E102" s="485">
        <v>0</v>
      </c>
      <c r="F102" s="485"/>
      <c r="G102" s="485">
        <v>0</v>
      </c>
      <c r="H102" s="485"/>
      <c r="I102" s="485">
        <v>0</v>
      </c>
      <c r="J102" s="485"/>
      <c r="K102" s="485">
        <v>0</v>
      </c>
      <c r="L102" s="485"/>
      <c r="M102" s="485">
        <v>0</v>
      </c>
      <c r="N102" s="485"/>
      <c r="O102" s="476">
        <v>0</v>
      </c>
      <c r="P102" s="477"/>
      <c r="Q102" s="477">
        <v>0</v>
      </c>
      <c r="R102" s="477"/>
      <c r="S102" s="477">
        <v>0</v>
      </c>
      <c r="T102" s="477"/>
      <c r="U102" s="477">
        <v>0</v>
      </c>
      <c r="V102" s="477"/>
      <c r="W102" s="477">
        <v>0</v>
      </c>
      <c r="X102" s="477"/>
      <c r="Y102" s="477">
        <v>0</v>
      </c>
      <c r="Z102" s="477"/>
      <c r="AA102" s="477"/>
      <c r="AB102" s="477"/>
      <c r="AC102" s="476">
        <f t="shared" si="14"/>
        <v>2158.06</v>
      </c>
      <c r="AD102" s="520"/>
      <c r="AE102" s="476">
        <f t="shared" ref="AE102:AE113" si="16">B102</f>
        <v>2158.06</v>
      </c>
      <c r="AF102" s="476">
        <f t="shared" ref="AF102:AF113" si="17">E102+G102+I102+K102+M102+O102+Q102+S102+U102+W102+Y102+AA102+AB102</f>
        <v>0</v>
      </c>
      <c r="AG102" s="476">
        <f t="shared" si="15"/>
        <v>0</v>
      </c>
      <c r="AH102" s="476">
        <f t="shared" si="13"/>
        <v>2158.06</v>
      </c>
      <c r="AI102" s="479" t="s">
        <v>405</v>
      </c>
    </row>
    <row r="103" spans="1:35" s="459" customFormat="1" ht="23.25" customHeight="1" x14ac:dyDescent="0.45">
      <c r="A103" s="694" t="s">
        <v>370</v>
      </c>
      <c r="B103" s="474">
        <v>433352.05</v>
      </c>
      <c r="C103" s="484"/>
      <c r="D103" s="485">
        <v>412585.6</v>
      </c>
      <c r="E103" s="485">
        <v>398790.43</v>
      </c>
      <c r="F103" s="485">
        <v>369581.2</v>
      </c>
      <c r="G103" s="485">
        <v>130312.84</v>
      </c>
      <c r="H103" s="485">
        <v>130312.85</v>
      </c>
      <c r="I103" s="485">
        <v>130140.22</v>
      </c>
      <c r="J103" s="485">
        <v>130140.22</v>
      </c>
      <c r="K103" s="485">
        <v>140624.09</v>
      </c>
      <c r="L103" s="485">
        <v>140624.73000000001</v>
      </c>
      <c r="M103" s="485">
        <v>424478.91</v>
      </c>
      <c r="N103" s="485"/>
      <c r="O103" s="476">
        <v>137590.5</v>
      </c>
      <c r="P103" s="477">
        <f>137590.51+252811.73</f>
        <v>390402.24</v>
      </c>
      <c r="Q103" s="477">
        <v>253330.63</v>
      </c>
      <c r="R103" s="477"/>
      <c r="S103" s="477">
        <v>8381.2999999999993</v>
      </c>
      <c r="T103" s="477">
        <v>253330.63</v>
      </c>
      <c r="U103" s="477">
        <v>183458.62</v>
      </c>
      <c r="V103" s="477">
        <f>183458.62+195818.86</f>
        <v>379277.48</v>
      </c>
      <c r="W103" s="477">
        <v>111770.19</v>
      </c>
      <c r="X103" s="477"/>
      <c r="Y103" s="477">
        <v>202704.92</v>
      </c>
      <c r="Z103" s="477">
        <f>112427.91</f>
        <v>112427.91</v>
      </c>
      <c r="AA103" s="477">
        <v>124069.8</v>
      </c>
      <c r="AB103" s="477">
        <v>142564.4</v>
      </c>
      <c r="AC103" s="476">
        <f t="shared" si="14"/>
        <v>502886.04000000004</v>
      </c>
      <c r="AD103" s="520"/>
      <c r="AE103" s="476">
        <f t="shared" si="16"/>
        <v>433352.05</v>
      </c>
      <c r="AF103" s="476">
        <f t="shared" si="17"/>
        <v>2388216.8499999996</v>
      </c>
      <c r="AG103" s="476">
        <f t="shared" si="15"/>
        <v>2318682.8600000003</v>
      </c>
      <c r="AH103" s="476">
        <f t="shared" si="13"/>
        <v>502886.03999999911</v>
      </c>
      <c r="AI103" s="479" t="s">
        <v>419</v>
      </c>
    </row>
    <row r="104" spans="1:35" s="459" customFormat="1" ht="23.25" customHeight="1" x14ac:dyDescent="0.45">
      <c r="A104" s="643" t="s">
        <v>371</v>
      </c>
      <c r="B104" s="474">
        <v>190770.93</v>
      </c>
      <c r="C104" s="484"/>
      <c r="D104" s="485"/>
      <c r="E104" s="485">
        <v>0</v>
      </c>
      <c r="F104" s="485"/>
      <c r="G104" s="485">
        <v>14806.22</v>
      </c>
      <c r="H104" s="485"/>
      <c r="I104" s="485">
        <v>9281.99</v>
      </c>
      <c r="J104" s="485"/>
      <c r="K104" s="485">
        <v>0</v>
      </c>
      <c r="L104" s="485"/>
      <c r="M104" s="485">
        <v>1801.45</v>
      </c>
      <c r="N104" s="485"/>
      <c r="O104" s="476">
        <v>0</v>
      </c>
      <c r="P104" s="477"/>
      <c r="Q104" s="477">
        <v>1440.19</v>
      </c>
      <c r="R104" s="477"/>
      <c r="S104" s="477">
        <v>17327.330000000002</v>
      </c>
      <c r="T104" s="477"/>
      <c r="U104" s="477">
        <v>10013.35</v>
      </c>
      <c r="V104" s="477"/>
      <c r="W104" s="477">
        <v>2481.3000000000002</v>
      </c>
      <c r="X104" s="477"/>
      <c r="Y104" s="477">
        <v>0</v>
      </c>
      <c r="Z104" s="477"/>
      <c r="AA104" s="477">
        <v>11780.47</v>
      </c>
      <c r="AB104" s="477">
        <f>8082.64+13614.34</f>
        <v>21696.98</v>
      </c>
      <c r="AC104" s="476">
        <f t="shared" si="14"/>
        <v>281400.20999999996</v>
      </c>
      <c r="AD104" s="520"/>
      <c r="AE104" s="476">
        <f t="shared" si="16"/>
        <v>190770.93</v>
      </c>
      <c r="AF104" s="476">
        <f t="shared" si="17"/>
        <v>90629.28</v>
      </c>
      <c r="AG104" s="476">
        <f t="shared" si="15"/>
        <v>0</v>
      </c>
      <c r="AH104" s="476">
        <f t="shared" si="13"/>
        <v>281400.20999999996</v>
      </c>
      <c r="AI104" s="479" t="s">
        <v>434</v>
      </c>
    </row>
    <row r="105" spans="1:35" s="459" customFormat="1" ht="23.25" customHeight="1" x14ac:dyDescent="0.45">
      <c r="A105" s="643" t="s">
        <v>372</v>
      </c>
      <c r="B105" s="474">
        <f>'2015-2016'!AC106</f>
        <v>0</v>
      </c>
      <c r="C105" s="484"/>
      <c r="D105" s="485"/>
      <c r="E105" s="485">
        <v>0</v>
      </c>
      <c r="F105" s="485"/>
      <c r="G105" s="485">
        <v>0</v>
      </c>
      <c r="H105" s="485"/>
      <c r="I105" s="485">
        <v>0</v>
      </c>
      <c r="J105" s="485"/>
      <c r="K105" s="485">
        <v>0</v>
      </c>
      <c r="L105" s="485"/>
      <c r="M105" s="485">
        <v>0</v>
      </c>
      <c r="N105" s="485"/>
      <c r="O105" s="476">
        <v>0</v>
      </c>
      <c r="P105" s="477"/>
      <c r="Q105" s="477">
        <v>0</v>
      </c>
      <c r="R105" s="477"/>
      <c r="S105" s="477">
        <v>0</v>
      </c>
      <c r="T105" s="477"/>
      <c r="U105" s="477">
        <v>0</v>
      </c>
      <c r="V105" s="477"/>
      <c r="W105" s="477">
        <v>0</v>
      </c>
      <c r="X105" s="477"/>
      <c r="Y105" s="477">
        <v>0</v>
      </c>
      <c r="Z105" s="477"/>
      <c r="AA105" s="477"/>
      <c r="AB105" s="477"/>
      <c r="AC105" s="476">
        <f t="shared" si="14"/>
        <v>0</v>
      </c>
      <c r="AD105" s="520"/>
      <c r="AE105" s="476">
        <f t="shared" si="16"/>
        <v>0</v>
      </c>
      <c r="AF105" s="476">
        <f t="shared" si="17"/>
        <v>0</v>
      </c>
      <c r="AG105" s="476">
        <f t="shared" si="15"/>
        <v>0</v>
      </c>
      <c r="AH105" s="476">
        <f t="shared" si="13"/>
        <v>0</v>
      </c>
      <c r="AI105" s="479" t="s">
        <v>424</v>
      </c>
    </row>
    <row r="106" spans="1:35" s="459" customFormat="1" ht="23.25" customHeight="1" x14ac:dyDescent="0.45">
      <c r="A106" s="643" t="s">
        <v>373</v>
      </c>
      <c r="B106" s="474">
        <f>'2015-2016'!AC107</f>
        <v>0</v>
      </c>
      <c r="C106" s="484"/>
      <c r="D106" s="485"/>
      <c r="E106" s="485">
        <v>0</v>
      </c>
      <c r="F106" s="485"/>
      <c r="G106" s="485">
        <v>0</v>
      </c>
      <c r="H106" s="485"/>
      <c r="I106" s="485">
        <v>0</v>
      </c>
      <c r="J106" s="485"/>
      <c r="K106" s="485">
        <v>0</v>
      </c>
      <c r="L106" s="485"/>
      <c r="M106" s="485">
        <v>0</v>
      </c>
      <c r="N106" s="485"/>
      <c r="O106" s="476">
        <v>0</v>
      </c>
      <c r="P106" s="477"/>
      <c r="Q106" s="477">
        <v>0</v>
      </c>
      <c r="R106" s="477"/>
      <c r="S106" s="477">
        <v>0</v>
      </c>
      <c r="T106" s="477"/>
      <c r="U106" s="477">
        <v>0</v>
      </c>
      <c r="V106" s="477"/>
      <c r="W106" s="477">
        <v>0</v>
      </c>
      <c r="X106" s="477"/>
      <c r="Y106" s="477">
        <v>0</v>
      </c>
      <c r="Z106" s="477"/>
      <c r="AA106" s="477"/>
      <c r="AB106" s="477"/>
      <c r="AC106" s="476">
        <f t="shared" si="14"/>
        <v>0</v>
      </c>
      <c r="AD106" s="520"/>
      <c r="AE106" s="476">
        <f t="shared" si="16"/>
        <v>0</v>
      </c>
      <c r="AF106" s="476">
        <f t="shared" si="17"/>
        <v>0</v>
      </c>
      <c r="AG106" s="476">
        <f t="shared" si="15"/>
        <v>0</v>
      </c>
      <c r="AH106" s="476">
        <f t="shared" si="13"/>
        <v>0</v>
      </c>
      <c r="AI106" s="479" t="s">
        <v>424</v>
      </c>
    </row>
    <row r="107" spans="1:35" s="459" customFormat="1" ht="23.25" customHeight="1" x14ac:dyDescent="0.45">
      <c r="A107" s="643" t="s">
        <v>374</v>
      </c>
      <c r="B107" s="474">
        <f>'2015-2016'!AC108</f>
        <v>0</v>
      </c>
      <c r="C107" s="484"/>
      <c r="D107" s="485"/>
      <c r="E107" s="485">
        <v>0</v>
      </c>
      <c r="F107" s="485"/>
      <c r="G107" s="485">
        <v>0</v>
      </c>
      <c r="H107" s="485"/>
      <c r="I107" s="485">
        <v>0</v>
      </c>
      <c r="J107" s="485"/>
      <c r="K107" s="485">
        <v>0</v>
      </c>
      <c r="L107" s="485"/>
      <c r="M107" s="485"/>
      <c r="N107" s="485"/>
      <c r="O107" s="476">
        <v>0</v>
      </c>
      <c r="P107" s="477"/>
      <c r="Q107" s="477">
        <v>0</v>
      </c>
      <c r="R107" s="477"/>
      <c r="S107" s="477">
        <v>0</v>
      </c>
      <c r="T107" s="477"/>
      <c r="U107" s="477">
        <v>0</v>
      </c>
      <c r="V107" s="477"/>
      <c r="W107" s="477">
        <v>0</v>
      </c>
      <c r="X107" s="477"/>
      <c r="Y107" s="477">
        <v>0</v>
      </c>
      <c r="Z107" s="477"/>
      <c r="AA107" s="477"/>
      <c r="AB107" s="477"/>
      <c r="AC107" s="476">
        <f t="shared" si="14"/>
        <v>0</v>
      </c>
      <c r="AD107" s="520"/>
      <c r="AE107" s="476">
        <f t="shared" si="16"/>
        <v>0</v>
      </c>
      <c r="AF107" s="476">
        <f t="shared" si="17"/>
        <v>0</v>
      </c>
      <c r="AG107" s="476">
        <f t="shared" si="15"/>
        <v>0</v>
      </c>
      <c r="AH107" s="476">
        <f t="shared" si="13"/>
        <v>0</v>
      </c>
      <c r="AI107" s="479" t="s">
        <v>405</v>
      </c>
    </row>
    <row r="108" spans="1:35" s="459" customFormat="1" ht="23.25" customHeight="1" x14ac:dyDescent="0.45">
      <c r="A108" s="643" t="s">
        <v>435</v>
      </c>
      <c r="B108" s="474"/>
      <c r="C108" s="484"/>
      <c r="D108" s="485"/>
      <c r="E108" s="485"/>
      <c r="F108" s="485"/>
      <c r="G108" s="485"/>
      <c r="H108" s="485"/>
      <c r="I108" s="485"/>
      <c r="J108" s="485"/>
      <c r="K108" s="485"/>
      <c r="L108" s="485"/>
      <c r="M108" s="485">
        <v>-39944.120000000003</v>
      </c>
      <c r="N108" s="485"/>
      <c r="O108" s="476">
        <v>0</v>
      </c>
      <c r="P108" s="477"/>
      <c r="Q108" s="477">
        <v>0</v>
      </c>
      <c r="R108" s="477"/>
      <c r="S108" s="477">
        <v>0</v>
      </c>
      <c r="T108" s="477"/>
      <c r="U108" s="477">
        <v>0</v>
      </c>
      <c r="V108" s="477"/>
      <c r="W108" s="477">
        <v>0</v>
      </c>
      <c r="X108" s="477"/>
      <c r="Y108" s="477">
        <v>0</v>
      </c>
      <c r="Z108" s="477"/>
      <c r="AA108" s="477"/>
      <c r="AB108" s="477"/>
      <c r="AC108" s="476">
        <f t="shared" si="14"/>
        <v>-39944.120000000003</v>
      </c>
      <c r="AD108" s="520"/>
      <c r="AE108" s="476">
        <f t="shared" si="16"/>
        <v>0</v>
      </c>
      <c r="AF108" s="476">
        <f t="shared" si="17"/>
        <v>-39944.120000000003</v>
      </c>
      <c r="AG108" s="476">
        <f t="shared" si="15"/>
        <v>0</v>
      </c>
      <c r="AH108" s="476">
        <f t="shared" si="13"/>
        <v>-39944.120000000003</v>
      </c>
      <c r="AI108" s="479" t="s">
        <v>424</v>
      </c>
    </row>
    <row r="109" spans="1:35" s="459" customFormat="1" ht="23.25" customHeight="1" x14ac:dyDescent="0.45">
      <c r="A109" s="643" t="s">
        <v>436</v>
      </c>
      <c r="B109" s="474"/>
      <c r="C109" s="484"/>
      <c r="D109" s="485"/>
      <c r="E109" s="485"/>
      <c r="F109" s="485"/>
      <c r="G109" s="485"/>
      <c r="H109" s="485"/>
      <c r="I109" s="485"/>
      <c r="J109" s="485"/>
      <c r="K109" s="485"/>
      <c r="L109" s="485"/>
      <c r="M109" s="485">
        <v>1674.27</v>
      </c>
      <c r="N109" s="485"/>
      <c r="O109" s="476">
        <v>3030.36</v>
      </c>
      <c r="P109" s="477"/>
      <c r="Q109" s="477">
        <v>0</v>
      </c>
      <c r="R109" s="477"/>
      <c r="S109" s="477">
        <v>0</v>
      </c>
      <c r="T109" s="477"/>
      <c r="U109" s="477">
        <v>0</v>
      </c>
      <c r="V109" s="477"/>
      <c r="W109" s="477">
        <v>0</v>
      </c>
      <c r="X109" s="477"/>
      <c r="Y109" s="477">
        <v>0</v>
      </c>
      <c r="Z109" s="477"/>
      <c r="AA109" s="477"/>
      <c r="AB109" s="477"/>
      <c r="AC109" s="476">
        <f t="shared" si="14"/>
        <v>4704.63</v>
      </c>
      <c r="AD109" s="520"/>
      <c r="AE109" s="476">
        <f t="shared" si="16"/>
        <v>0</v>
      </c>
      <c r="AF109" s="476">
        <f t="shared" si="17"/>
        <v>4704.63</v>
      </c>
      <c r="AG109" s="476">
        <f t="shared" si="15"/>
        <v>0</v>
      </c>
      <c r="AH109" s="476">
        <f t="shared" si="13"/>
        <v>4704.63</v>
      </c>
      <c r="AI109" s="479" t="s">
        <v>437</v>
      </c>
    </row>
    <row r="110" spans="1:35" s="459" customFormat="1" ht="23.25" customHeight="1" x14ac:dyDescent="0.45">
      <c r="A110" s="643" t="s">
        <v>438</v>
      </c>
      <c r="B110" s="474"/>
      <c r="C110" s="484"/>
      <c r="D110" s="485"/>
      <c r="E110" s="485"/>
      <c r="F110" s="485"/>
      <c r="G110" s="485"/>
      <c r="H110" s="485"/>
      <c r="I110" s="485"/>
      <c r="J110" s="485"/>
      <c r="K110" s="485"/>
      <c r="L110" s="485"/>
      <c r="M110" s="485">
        <v>-1120862.76</v>
      </c>
      <c r="N110" s="485"/>
      <c r="O110" s="476">
        <v>0</v>
      </c>
      <c r="P110" s="477"/>
      <c r="Q110" s="477">
        <v>0</v>
      </c>
      <c r="R110" s="477"/>
      <c r="S110" s="477">
        <v>0</v>
      </c>
      <c r="T110" s="477"/>
      <c r="U110" s="477">
        <v>0</v>
      </c>
      <c r="V110" s="477"/>
      <c r="W110" s="477">
        <v>0</v>
      </c>
      <c r="X110" s="477"/>
      <c r="Y110" s="477">
        <v>0</v>
      </c>
      <c r="Z110" s="477"/>
      <c r="AA110" s="477"/>
      <c r="AB110" s="477"/>
      <c r="AC110" s="476">
        <f t="shared" si="14"/>
        <v>-1120862.76</v>
      </c>
      <c r="AD110" s="520"/>
      <c r="AE110" s="476">
        <f t="shared" si="16"/>
        <v>0</v>
      </c>
      <c r="AF110" s="476">
        <f t="shared" si="17"/>
        <v>-1120862.76</v>
      </c>
      <c r="AG110" s="476">
        <f t="shared" si="15"/>
        <v>0</v>
      </c>
      <c r="AH110" s="476">
        <f t="shared" si="13"/>
        <v>-1120862.76</v>
      </c>
      <c r="AI110" s="479" t="s">
        <v>424</v>
      </c>
    </row>
    <row r="111" spans="1:35" s="459" customFormat="1" ht="23.25" customHeight="1" x14ac:dyDescent="0.45">
      <c r="A111" s="643" t="s">
        <v>439</v>
      </c>
      <c r="B111" s="474"/>
      <c r="C111" s="484"/>
      <c r="D111" s="485"/>
      <c r="E111" s="485"/>
      <c r="F111" s="485"/>
      <c r="G111" s="485"/>
      <c r="H111" s="485"/>
      <c r="I111" s="485"/>
      <c r="J111" s="485"/>
      <c r="K111" s="485"/>
      <c r="L111" s="485"/>
      <c r="M111" s="485">
        <v>-22627.39</v>
      </c>
      <c r="N111" s="485"/>
      <c r="O111" s="476">
        <v>0</v>
      </c>
      <c r="P111" s="477"/>
      <c r="Q111" s="477">
        <v>0</v>
      </c>
      <c r="R111" s="477"/>
      <c r="S111" s="477">
        <v>0</v>
      </c>
      <c r="T111" s="477"/>
      <c r="U111" s="477">
        <v>0</v>
      </c>
      <c r="V111" s="477"/>
      <c r="W111" s="477">
        <v>0</v>
      </c>
      <c r="X111" s="477"/>
      <c r="Y111" s="477">
        <v>0</v>
      </c>
      <c r="Z111" s="477"/>
      <c r="AA111" s="477"/>
      <c r="AB111" s="477"/>
      <c r="AC111" s="476">
        <f t="shared" si="14"/>
        <v>-22627.39</v>
      </c>
      <c r="AD111" s="520"/>
      <c r="AE111" s="476">
        <f t="shared" si="16"/>
        <v>0</v>
      </c>
      <c r="AF111" s="476">
        <f t="shared" si="17"/>
        <v>-22627.39</v>
      </c>
      <c r="AG111" s="476">
        <f t="shared" si="15"/>
        <v>0</v>
      </c>
      <c r="AH111" s="476">
        <f t="shared" si="13"/>
        <v>-22627.39</v>
      </c>
      <c r="AI111" s="479" t="s">
        <v>424</v>
      </c>
    </row>
    <row r="112" spans="1:35" s="459" customFormat="1" ht="23.25" customHeight="1" x14ac:dyDescent="0.45">
      <c r="A112" s="517" t="s">
        <v>343</v>
      </c>
      <c r="B112" s="474">
        <v>133042.13</v>
      </c>
      <c r="C112" s="475"/>
      <c r="D112" s="474"/>
      <c r="E112" s="474">
        <v>76752.240000000005</v>
      </c>
      <c r="F112" s="474">
        <f>249307.98+17348.24</f>
        <v>266656.22000000003</v>
      </c>
      <c r="G112" s="474">
        <v>114240.86</v>
      </c>
      <c r="H112" s="474">
        <v>22609.86</v>
      </c>
      <c r="I112" s="474">
        <v>76945.789999999994</v>
      </c>
      <c r="J112" s="474">
        <v>17541.79</v>
      </c>
      <c r="K112" s="474">
        <v>84599.37</v>
      </c>
      <c r="L112" s="474"/>
      <c r="M112" s="474">
        <v>77292.52</v>
      </c>
      <c r="N112" s="474"/>
      <c r="O112" s="474">
        <v>76466.37</v>
      </c>
      <c r="P112" s="477">
        <v>84599.37</v>
      </c>
      <c r="Q112" s="477">
        <v>84546.87</v>
      </c>
      <c r="R112" s="477"/>
      <c r="S112" s="477">
        <v>82627.710000000006</v>
      </c>
      <c r="T112" s="477">
        <v>235140.97</v>
      </c>
      <c r="U112" s="477">
        <v>81304.929999999993</v>
      </c>
      <c r="V112" s="477"/>
      <c r="W112" s="477">
        <v>75280.710000000006</v>
      </c>
      <c r="X112" s="477">
        <f>239213.35</f>
        <v>239213.35</v>
      </c>
      <c r="Y112" s="477">
        <v>74853.919999999998</v>
      </c>
      <c r="Z112" s="477"/>
      <c r="AA112" s="477">
        <v>59404</v>
      </c>
      <c r="AB112" s="477"/>
      <c r="AC112" s="476">
        <f t="shared" si="14"/>
        <v>231595.86</v>
      </c>
      <c r="AD112" s="533"/>
      <c r="AE112" s="476">
        <f t="shared" si="16"/>
        <v>133042.13</v>
      </c>
      <c r="AF112" s="476">
        <f t="shared" si="17"/>
        <v>964315.28999999992</v>
      </c>
      <c r="AG112" s="476">
        <f t="shared" si="15"/>
        <v>865761.55999999994</v>
      </c>
      <c r="AH112" s="476">
        <f t="shared" si="13"/>
        <v>231595.86</v>
      </c>
      <c r="AI112" s="479" t="s">
        <v>440</v>
      </c>
    </row>
    <row r="113" spans="1:37" s="459" customFormat="1" ht="23.25" customHeight="1" thickBot="1" x14ac:dyDescent="0.5">
      <c r="A113" s="694" t="s">
        <v>441</v>
      </c>
      <c r="B113" s="485"/>
      <c r="C113" s="484"/>
      <c r="D113" s="485"/>
      <c r="E113" s="485"/>
      <c r="F113" s="485"/>
      <c r="G113" s="485"/>
      <c r="H113" s="485"/>
      <c r="I113" s="485"/>
      <c r="J113" s="485">
        <v>178871.64</v>
      </c>
      <c r="K113" s="485">
        <v>0</v>
      </c>
      <c r="L113" s="485"/>
      <c r="M113" s="485">
        <v>0</v>
      </c>
      <c r="N113" s="485"/>
      <c r="O113" s="485">
        <v>0</v>
      </c>
      <c r="P113" s="490"/>
      <c r="Q113" s="490">
        <v>0</v>
      </c>
      <c r="R113" s="490"/>
      <c r="S113" s="490">
        <v>42917.61</v>
      </c>
      <c r="T113" s="490"/>
      <c r="U113" s="490">
        <v>0</v>
      </c>
      <c r="V113" s="490"/>
      <c r="W113" s="490">
        <v>0</v>
      </c>
      <c r="X113" s="490"/>
      <c r="Y113" s="490">
        <v>0</v>
      </c>
      <c r="Z113" s="490"/>
      <c r="AA113" s="490"/>
      <c r="AB113" s="490"/>
      <c r="AC113" s="476">
        <f t="shared" si="14"/>
        <v>-135954.03000000003</v>
      </c>
      <c r="AD113" s="521"/>
      <c r="AE113" s="476">
        <f t="shared" si="16"/>
        <v>0</v>
      </c>
      <c r="AF113" s="476">
        <f t="shared" si="17"/>
        <v>42917.61</v>
      </c>
      <c r="AG113" s="476">
        <f t="shared" si="15"/>
        <v>178871.64</v>
      </c>
      <c r="AH113" s="476">
        <f t="shared" si="13"/>
        <v>-135954.03000000003</v>
      </c>
      <c r="AI113" s="491" t="s">
        <v>424</v>
      </c>
      <c r="AJ113" s="688"/>
      <c r="AK113" s="688"/>
    </row>
    <row r="114" spans="1:37" s="459" customFormat="1" ht="23.25" customHeight="1" thickBot="1" x14ac:dyDescent="0.5">
      <c r="A114" s="695" t="s">
        <v>6</v>
      </c>
      <c r="B114" s="492">
        <f>SUM(B6:B112)</f>
        <v>258368380.6080001</v>
      </c>
      <c r="C114" s="493"/>
      <c r="D114" s="494">
        <f t="shared" ref="D114:I114" si="18">SUM(D6:D112)</f>
        <v>58826961.679999992</v>
      </c>
      <c r="E114" s="494">
        <f t="shared" si="18"/>
        <v>64127486.88000001</v>
      </c>
      <c r="F114" s="494">
        <f t="shared" si="18"/>
        <v>36897482.580000006</v>
      </c>
      <c r="G114" s="494">
        <f t="shared" si="18"/>
        <v>62938491.049999982</v>
      </c>
      <c r="H114" s="494">
        <f t="shared" si="18"/>
        <v>54263852.910000019</v>
      </c>
      <c r="I114" s="495">
        <f t="shared" si="18"/>
        <v>86794672.739999995</v>
      </c>
      <c r="J114" s="492">
        <f t="shared" ref="J114:AC114" si="19">SUM(J6:J113)</f>
        <v>87705943.149999976</v>
      </c>
      <c r="K114" s="492">
        <f t="shared" si="19"/>
        <v>65258588.869999982</v>
      </c>
      <c r="L114" s="496">
        <f t="shared" si="19"/>
        <v>52441989.609999977</v>
      </c>
      <c r="M114" s="494">
        <f t="shared" si="19"/>
        <v>65417773.640000001</v>
      </c>
      <c r="N114" s="494">
        <f t="shared" si="19"/>
        <v>28796532.569999997</v>
      </c>
      <c r="O114" s="497">
        <f t="shared" si="19"/>
        <v>63393225.389999986</v>
      </c>
      <c r="P114" s="498">
        <f t="shared" si="19"/>
        <v>26895060.220000003</v>
      </c>
      <c r="Q114" s="499">
        <f t="shared" si="19"/>
        <v>67082590.209999979</v>
      </c>
      <c r="R114" s="498">
        <f t="shared" si="19"/>
        <v>53190743.290000021</v>
      </c>
      <c r="S114" s="499">
        <f t="shared" si="19"/>
        <v>64309356.999999963</v>
      </c>
      <c r="T114" s="498">
        <f t="shared" si="19"/>
        <v>58994020.170000002</v>
      </c>
      <c r="U114" s="499">
        <f t="shared" si="19"/>
        <v>61889440.720000021</v>
      </c>
      <c r="V114" s="498">
        <f t="shared" si="19"/>
        <v>25814085.979999993</v>
      </c>
      <c r="W114" s="507">
        <f t="shared" si="19"/>
        <v>8770812.9400000013</v>
      </c>
      <c r="X114" s="498">
        <f t="shared" si="19"/>
        <v>72127838.149999976</v>
      </c>
      <c r="Y114" s="499">
        <f t="shared" si="19"/>
        <v>65090545.649999991</v>
      </c>
      <c r="Z114" s="498">
        <f t="shared" si="19"/>
        <v>175031282.72000003</v>
      </c>
      <c r="AA114" s="510">
        <f t="shared" si="19"/>
        <v>45983114.04999999</v>
      </c>
      <c r="AB114" s="526">
        <f t="shared" si="19"/>
        <v>20737460.889999997</v>
      </c>
      <c r="AC114" s="492">
        <f t="shared" si="19"/>
        <v>269176147.6080001</v>
      </c>
      <c r="AD114" s="522"/>
      <c r="AE114" s="492">
        <f>SUM(AE6:AE113)</f>
        <v>258368380.6080001</v>
      </c>
      <c r="AF114" s="492">
        <f>SUM(AF6:AF113)</f>
        <v>741793560.03000045</v>
      </c>
      <c r="AG114" s="492">
        <f>SUM(AG6:AG113)</f>
        <v>730985793.02999973</v>
      </c>
      <c r="AH114" s="492">
        <f>SUM(AH6:AH113)</f>
        <v>269176147.60800016</v>
      </c>
      <c r="AI114" s="506"/>
      <c r="AJ114" s="688"/>
      <c r="AK114" s="688"/>
    </row>
    <row r="115" spans="1:37" ht="23.25" customHeight="1" x14ac:dyDescent="0.45">
      <c r="A115" s="500"/>
      <c r="B115" s="688"/>
      <c r="C115" s="688"/>
      <c r="P115" s="501"/>
      <c r="Q115" s="502"/>
      <c r="R115" s="501"/>
      <c r="S115" s="501"/>
      <c r="T115" s="501"/>
      <c r="U115" s="501"/>
      <c r="V115" s="501"/>
      <c r="W115" s="501"/>
      <c r="X115" s="501"/>
      <c r="Y115" s="501"/>
      <c r="Z115" s="501"/>
      <c r="AA115" s="532"/>
      <c r="AB115" s="527"/>
      <c r="AJ115" s="688"/>
      <c r="AK115" s="688"/>
    </row>
    <row r="116" spans="1:37" ht="23.25" customHeight="1" x14ac:dyDescent="0.45">
      <c r="A116" s="698" t="s">
        <v>317</v>
      </c>
      <c r="B116" s="458"/>
      <c r="C116" s="458"/>
      <c r="D116" s="460">
        <f>36897482.58-F114</f>
        <v>0</v>
      </c>
      <c r="E116" s="460">
        <v>374853.23</v>
      </c>
      <c r="F116" s="460">
        <f>36897482.58-F114</f>
        <v>0</v>
      </c>
      <c r="G116" s="460">
        <v>384992.13</v>
      </c>
      <c r="I116" s="460">
        <v>393221.36</v>
      </c>
      <c r="K116" s="460">
        <v>428142.3</v>
      </c>
      <c r="M116" s="460">
        <v>432578.3</v>
      </c>
      <c r="N116" s="460">
        <f>28796532.57-N114</f>
        <v>0</v>
      </c>
      <c r="O116" s="500">
        <v>256184.43</v>
      </c>
      <c r="P116" s="501"/>
      <c r="Q116" s="501">
        <v>376129.67</v>
      </c>
      <c r="R116" s="501"/>
      <c r="S116" s="501">
        <v>409603.99</v>
      </c>
      <c r="T116" s="501"/>
      <c r="U116" s="501">
        <v>357124.41</v>
      </c>
      <c r="V116" s="501"/>
      <c r="W116" s="501">
        <v>291456.96999999997</v>
      </c>
      <c r="X116" s="501"/>
      <c r="Y116" s="501">
        <v>447876.15</v>
      </c>
      <c r="Z116" s="501"/>
      <c r="AA116" s="501"/>
      <c r="AB116" s="501">
        <v>306356.03999999998</v>
      </c>
      <c r="AC116" s="696"/>
      <c r="AD116" s="696"/>
      <c r="AE116" s="696"/>
      <c r="AF116" s="696"/>
      <c r="AG116" s="696"/>
      <c r="AH116" s="696"/>
      <c r="AI116" s="503">
        <f>58994020.17-T114</f>
        <v>0</v>
      </c>
      <c r="AJ116" s="502"/>
      <c r="AK116" s="502"/>
    </row>
    <row r="117" spans="1:37" ht="23.25" customHeight="1" x14ac:dyDescent="0.45">
      <c r="A117" s="698" t="s">
        <v>318</v>
      </c>
      <c r="B117" s="504"/>
      <c r="C117" s="504"/>
      <c r="D117" s="505"/>
      <c r="E117" s="505">
        <f>E114+E116</f>
        <v>64502340.110000007</v>
      </c>
      <c r="F117" s="505"/>
      <c r="G117" s="505">
        <f>G114+G116</f>
        <v>63323483.179999985</v>
      </c>
      <c r="H117" s="505"/>
      <c r="I117" s="505">
        <f>I114+I116</f>
        <v>87187894.099999994</v>
      </c>
      <c r="J117" s="505"/>
      <c r="K117" s="505">
        <f>K114+K116</f>
        <v>65686731.169999979</v>
      </c>
      <c r="L117" s="505"/>
      <c r="M117" s="505">
        <f>M114+M116</f>
        <v>65850351.939999998</v>
      </c>
      <c r="N117" s="505"/>
      <c r="O117" s="504">
        <f>O114+O116</f>
        <v>63649409.819999985</v>
      </c>
      <c r="P117" s="501"/>
      <c r="Q117" s="509">
        <f>Q114+Q116</f>
        <v>67458719.87999998</v>
      </c>
      <c r="R117" s="501"/>
      <c r="S117" s="509">
        <f>S114+S116</f>
        <v>64718960.989999965</v>
      </c>
      <c r="T117" s="501"/>
      <c r="U117" s="509">
        <f>U114+U116</f>
        <v>62246565.130000018</v>
      </c>
      <c r="V117" s="501"/>
      <c r="W117" s="509">
        <f>W114+W116</f>
        <v>9062269.910000002</v>
      </c>
      <c r="X117" s="501"/>
      <c r="Y117" s="509">
        <f>Y114+Y116</f>
        <v>65538421.79999999</v>
      </c>
      <c r="Z117" s="509"/>
      <c r="AA117" s="509">
        <f>SUM(AA114:AA116)</f>
        <v>45983114.04999999</v>
      </c>
      <c r="AB117" s="509">
        <f>SUM(AB114:AB116)</f>
        <v>21043816.929999996</v>
      </c>
      <c r="AC117" s="508"/>
      <c r="AD117" s="508"/>
      <c r="AE117" s="508"/>
      <c r="AF117" s="508"/>
      <c r="AG117" s="508"/>
      <c r="AH117" s="508"/>
      <c r="AJ117" s="502"/>
      <c r="AK117" s="502"/>
    </row>
    <row r="118" spans="1:37" ht="23.25" customHeight="1" x14ac:dyDescent="0.45">
      <c r="A118" s="688"/>
      <c r="B118" s="500"/>
      <c r="C118" s="688"/>
      <c r="Q118" s="502"/>
      <c r="R118" s="501"/>
      <c r="S118" s="501"/>
      <c r="T118" s="501"/>
      <c r="U118" s="501"/>
      <c r="V118" s="501"/>
      <c r="W118" s="501"/>
      <c r="Y118" s="501"/>
      <c r="Z118" s="501">
        <f>Z114-175031282.72</f>
        <v>0</v>
      </c>
      <c r="AA118" s="501"/>
      <c r="AB118" s="501"/>
      <c r="AC118" s="473"/>
      <c r="AD118" s="473"/>
      <c r="AE118" s="473"/>
      <c r="AF118" s="473"/>
      <c r="AG118" s="473"/>
      <c r="AH118" s="473"/>
      <c r="AJ118" s="502"/>
      <c r="AK118" s="502"/>
    </row>
    <row r="119" spans="1:37" ht="23.25" customHeight="1" x14ac:dyDescent="0.45">
      <c r="A119" s="688"/>
      <c r="B119" s="688"/>
      <c r="C119" s="688"/>
      <c r="Q119" s="688"/>
      <c r="Y119" s="501">
        <f>Y117-65538421.8</f>
        <v>0</v>
      </c>
      <c r="Z119" s="501"/>
      <c r="AA119" s="501"/>
      <c r="AB119" s="501"/>
      <c r="AC119" s="473"/>
      <c r="AD119" s="473"/>
      <c r="AE119" s="473"/>
      <c r="AF119" s="473"/>
      <c r="AG119" s="473"/>
      <c r="AH119" s="473"/>
      <c r="AJ119" s="502"/>
      <c r="AK119" s="502"/>
    </row>
    <row r="120" spans="1:37" ht="23.25" customHeight="1" x14ac:dyDescent="0.45">
      <c r="A120" s="688"/>
      <c r="B120" s="500"/>
      <c r="C120" s="688"/>
      <c r="Q120" s="688"/>
      <c r="Y120" s="501"/>
      <c r="Z120" s="501"/>
      <c r="AA120" s="501"/>
      <c r="AB120" s="501"/>
      <c r="AC120" s="473"/>
      <c r="AD120" s="473"/>
      <c r="AE120" s="473"/>
      <c r="AF120" s="473"/>
      <c r="AG120" s="473"/>
      <c r="AH120" s="473"/>
      <c r="AJ120" s="502"/>
      <c r="AK120" s="502"/>
    </row>
    <row r="121" spans="1:37" ht="23.25" customHeight="1" x14ac:dyDescent="0.45">
      <c r="A121" s="688"/>
      <c r="B121" s="688"/>
      <c r="C121" s="688"/>
      <c r="Q121" s="688"/>
      <c r="Y121" s="501"/>
      <c r="Z121" s="501"/>
      <c r="AA121" s="501"/>
      <c r="AB121" s="501"/>
      <c r="AC121" s="473"/>
      <c r="AD121" s="473"/>
      <c r="AE121" s="473"/>
      <c r="AF121" s="473"/>
      <c r="AG121" s="473"/>
      <c r="AH121" s="473"/>
      <c r="AJ121" s="502"/>
      <c r="AK121" s="502"/>
    </row>
    <row r="122" spans="1:37" ht="23.25" customHeight="1" x14ac:dyDescent="0.5">
      <c r="A122" s="688"/>
      <c r="B122" s="688"/>
      <c r="C122" s="688"/>
      <c r="F122" s="460">
        <f>E117+G117+I117+K117+M117+O117+Q117+S117+U117+W117+Y117+AA117+AB117</f>
        <v>746252079.00999975</v>
      </c>
      <c r="G122" s="460">
        <f>D114+F114+H114+J114+L114+N114+P114+R114+T114+V114+X114+Z114</f>
        <v>730985793.02999997</v>
      </c>
      <c r="M122" s="535"/>
      <c r="Q122" s="688"/>
      <c r="Y122" s="501"/>
      <c r="Z122" s="501"/>
      <c r="AA122" s="501"/>
      <c r="AB122" s="501"/>
      <c r="AC122" s="473"/>
      <c r="AD122" s="473"/>
      <c r="AE122" s="473"/>
      <c r="AF122" s="473"/>
      <c r="AG122" s="473"/>
      <c r="AH122" s="473"/>
      <c r="AJ122" s="502"/>
      <c r="AK122" s="502"/>
    </row>
  </sheetData>
  <mergeCells count="1">
    <mergeCell ref="A1:A2"/>
  </mergeCells>
  <pageMargins left="0.7" right="0.7" top="0.75" bottom="0.75" header="0.3" footer="0.3"/>
  <pageSetup scale="10" orientation="landscape" verticalDpi="4" r:id="rId1"/>
  <rowBreaks count="1" manualBreakCount="1">
    <brk id="73" max="29" man="1"/>
  </rowBreaks>
  <colBreaks count="1" manualBreakCount="1">
    <brk id="35" max="1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128"/>
  <sheetViews>
    <sheetView topLeftCell="V1" workbookViewId="0">
      <pane ySplit="4" topLeftCell="A5" activePane="bottomLeft" state="frozen"/>
      <selection pane="bottomLeft" activeCell="X46" sqref="X46"/>
    </sheetView>
  </sheetViews>
  <sheetFormatPr defaultRowHeight="18.5" x14ac:dyDescent="0.45"/>
  <cols>
    <col min="1" max="1" width="69.6328125" style="459" customWidth="1"/>
    <col min="2" max="2" width="28" style="459" customWidth="1"/>
    <col min="3" max="3" width="23.36328125" style="459" customWidth="1"/>
    <col min="4" max="4" width="24.90625" style="460" customWidth="1"/>
    <col min="5" max="5" width="24" style="460" customWidth="1"/>
    <col min="6" max="6" width="23" style="460" customWidth="1"/>
    <col min="7" max="7" width="32.453125" style="461" customWidth="1"/>
    <col min="8" max="12" width="32.453125" style="460" customWidth="1"/>
    <col min="13" max="13" width="24.36328125" style="460" customWidth="1"/>
    <col min="14" max="14" width="22" style="460" customWidth="1"/>
    <col min="15" max="15" width="23.54296875" style="460" customWidth="1"/>
    <col min="16" max="16" width="24" style="461" customWidth="1"/>
    <col min="17" max="17" width="21.54296875" style="459" customWidth="1"/>
    <col min="18" max="21" width="32.453125" style="461" customWidth="1"/>
    <col min="22" max="22" width="24.54296875" style="461" customWidth="1"/>
    <col min="23" max="23" width="25.36328125" style="461" customWidth="1"/>
    <col min="24" max="25" width="32.453125" style="461" customWidth="1"/>
    <col min="26" max="26" width="25.54296875" style="461" customWidth="1"/>
    <col min="27" max="30" width="32.453125" style="461" customWidth="1"/>
    <col min="31" max="31" width="27.08984375" style="460" customWidth="1"/>
    <col min="32" max="32" width="29.08984375" style="460" customWidth="1"/>
    <col min="33" max="33" width="28" style="460" customWidth="1"/>
    <col min="34" max="34" width="23.36328125" style="459" customWidth="1"/>
    <col min="35" max="35" width="30" style="460" customWidth="1"/>
    <col min="36" max="36" width="21" style="461" customWidth="1"/>
    <col min="37" max="37" width="20.54296875" style="460" customWidth="1"/>
    <col min="38" max="38" width="10.6328125" style="502" customWidth="1"/>
    <col min="39" max="39" width="23.6328125" style="459" customWidth="1"/>
    <col min="40" max="40" width="18.54296875" style="459" customWidth="1"/>
    <col min="41" max="53" width="9.08984375" style="459"/>
  </cols>
  <sheetData>
    <row r="1" spans="1:53" x14ac:dyDescent="0.45">
      <c r="A1" s="1036" t="s">
        <v>0</v>
      </c>
      <c r="B1" s="458"/>
      <c r="C1" s="688"/>
      <c r="Q1" s="688"/>
      <c r="AH1" s="688"/>
      <c r="AM1" s="688"/>
      <c r="AN1" s="688"/>
      <c r="AO1" s="688"/>
      <c r="AP1" s="688"/>
      <c r="AQ1" s="688"/>
      <c r="AR1" s="688"/>
      <c r="AS1" s="688"/>
      <c r="AT1" s="688"/>
      <c r="AU1" s="688"/>
      <c r="AV1" s="688"/>
      <c r="AW1" s="688"/>
      <c r="AX1" s="688"/>
      <c r="AY1" s="688"/>
      <c r="AZ1" s="688"/>
      <c r="BA1" s="688"/>
    </row>
    <row r="2" spans="1:53" ht="19" thickBot="1" x14ac:dyDescent="0.5">
      <c r="A2" s="1037"/>
      <c r="B2" s="688"/>
      <c r="C2" s="458"/>
      <c r="Q2" s="688"/>
      <c r="AG2" s="554"/>
      <c r="AH2" s="458"/>
      <c r="AM2" s="688"/>
      <c r="AN2" s="688"/>
      <c r="AO2" s="688"/>
      <c r="AP2" s="688"/>
      <c r="AQ2" s="688"/>
      <c r="AR2" s="688"/>
      <c r="AS2" s="688"/>
      <c r="AT2" s="688"/>
      <c r="AU2" s="688"/>
      <c r="AV2" s="688"/>
      <c r="AW2" s="688"/>
      <c r="AX2" s="688"/>
      <c r="AY2" s="688"/>
      <c r="AZ2" s="688"/>
      <c r="BA2" s="688"/>
    </row>
    <row r="3" spans="1:53" ht="56" thickBot="1" x14ac:dyDescent="0.5">
      <c r="A3" s="685">
        <v>43190</v>
      </c>
      <c r="B3" s="464" t="s">
        <v>293</v>
      </c>
      <c r="C3" s="464"/>
      <c r="D3" s="464" t="s">
        <v>3</v>
      </c>
      <c r="E3" s="464" t="s">
        <v>5</v>
      </c>
      <c r="F3" s="464" t="s">
        <v>3</v>
      </c>
      <c r="G3" s="465" t="s">
        <v>5</v>
      </c>
      <c r="H3" s="464" t="s">
        <v>3</v>
      </c>
      <c r="I3" s="464" t="s">
        <v>5</v>
      </c>
      <c r="J3" s="464" t="s">
        <v>3</v>
      </c>
      <c r="K3" s="464" t="s">
        <v>5</v>
      </c>
      <c r="L3" s="464" t="s">
        <v>3</v>
      </c>
      <c r="M3" s="464" t="s">
        <v>5</v>
      </c>
      <c r="N3" s="464" t="s">
        <v>3</v>
      </c>
      <c r="O3" s="464" t="s">
        <v>5</v>
      </c>
      <c r="P3" s="465" t="s">
        <v>3</v>
      </c>
      <c r="Q3" s="464" t="s">
        <v>5</v>
      </c>
      <c r="R3" s="465" t="s">
        <v>181</v>
      </c>
      <c r="S3" s="465" t="s">
        <v>5</v>
      </c>
      <c r="T3" s="465" t="s">
        <v>181</v>
      </c>
      <c r="U3" s="465" t="s">
        <v>5</v>
      </c>
      <c r="V3" s="465" t="s">
        <v>181</v>
      </c>
      <c r="W3" s="465" t="s">
        <v>5</v>
      </c>
      <c r="X3" s="465" t="s">
        <v>181</v>
      </c>
      <c r="Y3" s="465" t="s">
        <v>5</v>
      </c>
      <c r="Z3" s="465" t="s">
        <v>181</v>
      </c>
      <c r="AA3" s="465" t="s">
        <v>5</v>
      </c>
      <c r="AB3" s="523" t="s">
        <v>5</v>
      </c>
      <c r="AC3" s="465" t="s">
        <v>181</v>
      </c>
      <c r="AD3" s="465" t="s">
        <v>5</v>
      </c>
      <c r="AE3" s="466" t="s">
        <v>6</v>
      </c>
      <c r="AF3" s="557"/>
      <c r="AG3" s="545" t="s">
        <v>293</v>
      </c>
      <c r="AH3" s="464"/>
      <c r="AI3" s="543" t="s">
        <v>318</v>
      </c>
      <c r="AJ3" s="465" t="s">
        <v>376</v>
      </c>
      <c r="AK3" s="518" t="s">
        <v>360</v>
      </c>
      <c r="AL3" s="511" t="s">
        <v>442</v>
      </c>
      <c r="AM3" s="688"/>
      <c r="AN3" s="688"/>
      <c r="AO3" s="688"/>
      <c r="AP3" s="688"/>
      <c r="AQ3" s="688"/>
      <c r="AR3" s="688"/>
      <c r="AS3" s="688"/>
      <c r="AT3" s="688"/>
      <c r="AU3" s="688"/>
      <c r="AV3" s="688"/>
      <c r="AW3" s="688"/>
      <c r="AX3" s="688"/>
      <c r="AY3" s="688"/>
      <c r="AZ3" s="688"/>
      <c r="BA3" s="688"/>
    </row>
    <row r="4" spans="1:53" ht="39.65" customHeight="1" thickBot="1" x14ac:dyDescent="0.5">
      <c r="A4" s="687"/>
      <c r="B4" s="467" t="s">
        <v>213</v>
      </c>
      <c r="C4" s="467" t="s">
        <v>443</v>
      </c>
      <c r="D4" s="467" t="s">
        <v>444</v>
      </c>
      <c r="E4" s="468" t="s">
        <v>444</v>
      </c>
      <c r="F4" s="468" t="s">
        <v>445</v>
      </c>
      <c r="G4" s="524" t="s">
        <v>445</v>
      </c>
      <c r="H4" s="468" t="s">
        <v>446</v>
      </c>
      <c r="I4" s="468" t="s">
        <v>446</v>
      </c>
      <c r="J4" s="469" t="s">
        <v>447</v>
      </c>
      <c r="K4" s="469" t="s">
        <v>447</v>
      </c>
      <c r="L4" s="469" t="s">
        <v>448</v>
      </c>
      <c r="M4" s="469" t="s">
        <v>448</v>
      </c>
      <c r="N4" s="469" t="s">
        <v>449</v>
      </c>
      <c r="O4" s="469" t="s">
        <v>449</v>
      </c>
      <c r="P4" s="470" t="s">
        <v>450</v>
      </c>
      <c r="Q4" s="469" t="s">
        <v>450</v>
      </c>
      <c r="R4" s="470" t="s">
        <v>451</v>
      </c>
      <c r="S4" s="470" t="s">
        <v>451</v>
      </c>
      <c r="T4" s="470" t="s">
        <v>452</v>
      </c>
      <c r="U4" s="470" t="s">
        <v>452</v>
      </c>
      <c r="V4" s="470" t="s">
        <v>453</v>
      </c>
      <c r="W4" s="470" t="s">
        <v>453</v>
      </c>
      <c r="X4" s="470" t="s">
        <v>454</v>
      </c>
      <c r="Y4" s="470" t="s">
        <v>454</v>
      </c>
      <c r="Z4" s="470" t="s">
        <v>455</v>
      </c>
      <c r="AA4" s="470" t="s">
        <v>456</v>
      </c>
      <c r="AB4" s="524" t="s">
        <v>455</v>
      </c>
      <c r="AC4" s="470" t="s">
        <v>456</v>
      </c>
      <c r="AD4" s="470" t="s">
        <v>455</v>
      </c>
      <c r="AE4" s="471"/>
      <c r="AF4" s="558"/>
      <c r="AG4" s="544" t="s">
        <v>213</v>
      </c>
      <c r="AH4" s="467" t="s">
        <v>443</v>
      </c>
      <c r="AI4" s="471"/>
      <c r="AJ4" s="536"/>
      <c r="AK4" s="471"/>
      <c r="AL4" s="506"/>
      <c r="AM4" s="688"/>
      <c r="AN4" s="688"/>
      <c r="AO4" s="688"/>
      <c r="AP4" s="688"/>
      <c r="AQ4" s="688"/>
      <c r="AR4" s="688"/>
      <c r="AS4" s="688"/>
      <c r="AT4" s="688"/>
      <c r="AU4" s="688"/>
      <c r="AV4" s="688"/>
      <c r="AW4" s="688"/>
      <c r="AX4" s="688"/>
      <c r="AY4" s="688"/>
      <c r="AZ4" s="688"/>
      <c r="BA4" s="688"/>
    </row>
    <row r="5" spans="1:53" ht="32.4" customHeight="1" thickBot="1" x14ac:dyDescent="0.5">
      <c r="A5" s="688"/>
      <c r="B5" s="688"/>
      <c r="C5" s="688"/>
      <c r="O5" s="473"/>
      <c r="Q5" s="688"/>
      <c r="AB5" s="525"/>
      <c r="AC5" s="501"/>
      <c r="AD5" s="501"/>
      <c r="AE5" s="473"/>
      <c r="AF5" s="558"/>
      <c r="AG5" s="473"/>
      <c r="AH5" s="688"/>
      <c r="AI5" s="473"/>
      <c r="AJ5" s="501"/>
      <c r="AK5" s="473"/>
      <c r="AM5" s="688"/>
      <c r="AN5" s="688"/>
      <c r="AO5" s="688"/>
      <c r="AP5" s="688"/>
      <c r="AQ5" s="688"/>
      <c r="AR5" s="688"/>
      <c r="AS5" s="688"/>
      <c r="AT5" s="688"/>
      <c r="AU5" s="688"/>
      <c r="AV5" s="688"/>
      <c r="AW5" s="688"/>
      <c r="AX5" s="688"/>
      <c r="AY5" s="688"/>
      <c r="AZ5" s="688"/>
      <c r="BA5" s="688"/>
    </row>
    <row r="6" spans="1:53" ht="19" thickBot="1" x14ac:dyDescent="0.5">
      <c r="A6" s="689" t="s">
        <v>25</v>
      </c>
      <c r="B6" s="474">
        <v>1100093.27</v>
      </c>
      <c r="C6" s="475"/>
      <c r="D6" s="474"/>
      <c r="E6" s="474">
        <v>3350915.67</v>
      </c>
      <c r="F6" s="474">
        <v>1100093.28</v>
      </c>
      <c r="G6" s="477">
        <v>3367006.76</v>
      </c>
      <c r="H6" s="474"/>
      <c r="I6" s="474">
        <v>3375266.19</v>
      </c>
      <c r="J6" s="474">
        <f>3350915.67+3367006.76</f>
        <v>6717922.4299999997</v>
      </c>
      <c r="K6" s="474">
        <v>3233794.34</v>
      </c>
      <c r="L6" s="474">
        <f>3375266.19+995719+2238075.34</f>
        <v>6609060.5299999993</v>
      </c>
      <c r="M6" s="474">
        <v>3173616.0000000005</v>
      </c>
      <c r="N6" s="474"/>
      <c r="O6" s="476">
        <v>2389356.69</v>
      </c>
      <c r="P6" s="477">
        <f>989031.11+2184584.89</f>
        <v>3173616</v>
      </c>
      <c r="Q6" s="477">
        <v>4540713.0199999996</v>
      </c>
      <c r="R6" s="477"/>
      <c r="S6" s="477">
        <v>3844559.6500000004</v>
      </c>
      <c r="T6" s="477">
        <v>6930069.71</v>
      </c>
      <c r="U6" s="477">
        <v>5557559.04</v>
      </c>
      <c r="V6" s="477">
        <f>2408596.85</f>
        <v>2408596.85</v>
      </c>
      <c r="W6" s="477">
        <v>7872665.7999999998</v>
      </c>
      <c r="X6" s="477">
        <v>5557559.04</v>
      </c>
      <c r="Y6" s="477">
        <v>5038904.04</v>
      </c>
      <c r="Z6" s="477">
        <f>7872665.8+8101191.97</f>
        <v>15973857.77</v>
      </c>
      <c r="AA6" s="477"/>
      <c r="AB6" s="477">
        <v>5007594.93</v>
      </c>
      <c r="AC6" s="537"/>
      <c r="AD6" s="537"/>
      <c r="AE6" s="476">
        <f>B6-C6-D6+E6-F6+G6-H6+I6-J6+K6-L6+M6-N6+O6-P6+Q6-R6+S6-T6+U6-V6+W6-X6+Y6-Z6+AA6+AB6</f>
        <v>3381269.7900000028</v>
      </c>
      <c r="AF6" s="558"/>
      <c r="AG6" s="476">
        <v>1100093.27</v>
      </c>
      <c r="AH6" s="475"/>
      <c r="AI6" s="476">
        <f t="shared" ref="AI6:AI37" si="0">E6+G6+I6+K6+M6+O6+Q6+S6+U6+W6+Y6+AA6+AB6+AD6</f>
        <v>50751952.129999995</v>
      </c>
      <c r="AJ6" s="537">
        <f t="shared" ref="AJ6:AJ37" si="1">D6+F6+H6+J6+L6+N6+P6+R6+T6+V6+X6+Z6+AC6</f>
        <v>48470775.609999999</v>
      </c>
      <c r="AK6" s="476">
        <f>AG6-AH6+AI6-AJ6</f>
        <v>3381269.7899999991</v>
      </c>
      <c r="AL6" s="549" t="s">
        <v>457</v>
      </c>
      <c r="AM6" s="458"/>
      <c r="AN6" s="555"/>
      <c r="AO6" s="688"/>
      <c r="AP6" s="688"/>
      <c r="AQ6" s="688"/>
      <c r="AR6" s="688"/>
      <c r="AS6" s="688"/>
      <c r="AT6" s="688"/>
      <c r="AU6" s="688"/>
      <c r="AV6" s="688"/>
      <c r="AW6" s="688"/>
      <c r="AX6" s="688"/>
      <c r="AY6" s="688"/>
      <c r="AZ6" s="688"/>
      <c r="BA6" s="688"/>
    </row>
    <row r="7" spans="1:53" s="538" customFormat="1" ht="19" thickBot="1" x14ac:dyDescent="0.5">
      <c r="A7" s="689" t="s">
        <v>24</v>
      </c>
      <c r="B7" s="474">
        <f>'2016-2017'!AH7</f>
        <v>19963156.25</v>
      </c>
      <c r="C7" s="475"/>
      <c r="D7" s="474"/>
      <c r="E7" s="474">
        <v>3922960.75</v>
      </c>
      <c r="F7" s="474">
        <f>406033.19+1611657.35+625598.11+186854.53+97735.83+125025.89</f>
        <v>3052904.9</v>
      </c>
      <c r="G7" s="477">
        <v>4154598.21</v>
      </c>
      <c r="H7" s="474">
        <f>89198.11+1197814.13+128101.4+1154970.58</f>
        <v>2570084.2199999997</v>
      </c>
      <c r="I7" s="474">
        <v>4047131.9699999997</v>
      </c>
      <c r="J7" s="474">
        <f>526070.8+91319.61+529730.09+2309670.95</f>
        <v>3456791.45</v>
      </c>
      <c r="K7" s="474">
        <v>4158692.0700000003</v>
      </c>
      <c r="L7" s="474">
        <f>1121929.12+513150+187098.75+43911.05+1173748.31+378893.93+1467671.09+204354.01+1843658.15+307669.59+431985.13+288772.37+511039.38+176914.78</f>
        <v>8650795.6600000001</v>
      </c>
      <c r="M7" s="474">
        <v>4230415.3099999996</v>
      </c>
      <c r="N7" s="474">
        <f>82662.58+249265.76+307169.42+1156002.69+51145.83+134798.65+190807.43+376973.84+520116.94</f>
        <v>3068943.1399999997</v>
      </c>
      <c r="O7" s="476">
        <v>3298791.56</v>
      </c>
      <c r="P7" s="477">
        <f>96316.58+814124.65+277273.55+279420.14+338</f>
        <v>1467472.92</v>
      </c>
      <c r="Q7" s="477">
        <v>5145951.6100000003</v>
      </c>
      <c r="R7" s="477">
        <v>22361651.059999999</v>
      </c>
      <c r="S7" s="477">
        <v>5083002.3139999993</v>
      </c>
      <c r="T7" s="477">
        <v>6990430.2199999997</v>
      </c>
      <c r="U7" s="477">
        <v>3249975.24</v>
      </c>
      <c r="V7" s="477">
        <v>2330726.15</v>
      </c>
      <c r="W7" s="477">
        <v>4163086.56</v>
      </c>
      <c r="X7" s="477">
        <v>3100359.28</v>
      </c>
      <c r="Y7" s="477">
        <v>3924967.92</v>
      </c>
      <c r="Z7" s="477">
        <v>13267314.48</v>
      </c>
      <c r="AA7" s="477"/>
      <c r="AB7" s="477">
        <v>2466662.4400000004</v>
      </c>
      <c r="AC7" s="537"/>
      <c r="AD7" s="537"/>
      <c r="AE7" s="476">
        <f t="shared" ref="AE7:AE70" si="2">B7-C7-D7+E7-F7+G7-H7+I7-J7+K7-L7+M7-N7+O7-P7+Q7-R7+S7-T7+U7-V7+W7-X7+Y7-Z7+AA7+AB7</f>
        <v>-2508081.2760000015</v>
      </c>
      <c r="AF7" s="558"/>
      <c r="AG7" s="476">
        <v>19963156.25</v>
      </c>
      <c r="AH7" s="475"/>
      <c r="AI7" s="476">
        <f t="shared" si="0"/>
        <v>47846235.954000004</v>
      </c>
      <c r="AJ7" s="537">
        <f t="shared" si="1"/>
        <v>70317473.479999989</v>
      </c>
      <c r="AK7" s="476">
        <f t="shared" ref="AK7:AK70" si="3">AG7-AH7+AI7-AJ7</f>
        <v>-2508081.2759999931</v>
      </c>
      <c r="AL7" s="478" t="s">
        <v>457</v>
      </c>
      <c r="AM7" s="688"/>
      <c r="AN7" s="555"/>
      <c r="AO7" s="688"/>
      <c r="AP7" s="688"/>
      <c r="AQ7" s="688"/>
      <c r="AR7" s="688"/>
      <c r="AS7" s="688"/>
      <c r="AT7" s="688"/>
      <c r="AU7" s="688"/>
      <c r="AV7" s="688"/>
      <c r="AW7" s="688"/>
      <c r="AX7" s="688"/>
      <c r="AY7" s="688"/>
      <c r="AZ7" s="688"/>
      <c r="BA7" s="688"/>
    </row>
    <row r="8" spans="1:53" s="538" customFormat="1" ht="19" thickBot="1" x14ac:dyDescent="0.5">
      <c r="A8" s="689" t="s">
        <v>361</v>
      </c>
      <c r="B8" s="474">
        <f>'2016-2017'!AH8</f>
        <v>121325601.87999998</v>
      </c>
      <c r="C8" s="475"/>
      <c r="D8" s="474">
        <f>31770582.38+21465649.95</f>
        <v>53236232.329999998</v>
      </c>
      <c r="E8" s="474">
        <v>11348495.08</v>
      </c>
      <c r="F8" s="474"/>
      <c r="G8" s="477">
        <v>11467901.539999999</v>
      </c>
      <c r="H8" s="474"/>
      <c r="I8" s="474">
        <v>11392154.52</v>
      </c>
      <c r="J8" s="474"/>
      <c r="K8" s="474">
        <v>11281100.240000002</v>
      </c>
      <c r="L8" s="684"/>
      <c r="M8" s="474">
        <v>11117135.236599999</v>
      </c>
      <c r="N8" s="474"/>
      <c r="O8" s="476">
        <v>10426590.689999999</v>
      </c>
      <c r="P8" s="477"/>
      <c r="Q8" s="477">
        <v>14376534.899999999</v>
      </c>
      <c r="R8" s="477"/>
      <c r="S8" s="477">
        <v>12585815.769999998</v>
      </c>
      <c r="T8" s="477">
        <v>101370717.90000001</v>
      </c>
      <c r="U8" s="477">
        <v>9632601.7299999986</v>
      </c>
      <c r="V8" s="477">
        <v>206231.6</v>
      </c>
      <c r="W8" s="477">
        <v>15746318.260000002</v>
      </c>
      <c r="X8" s="477"/>
      <c r="Y8" s="477">
        <v>12697870.690000001</v>
      </c>
      <c r="Z8" s="477"/>
      <c r="AA8" s="477"/>
      <c r="AB8" s="477">
        <v>12497398.609999999</v>
      </c>
      <c r="AC8" s="537"/>
      <c r="AD8" s="537"/>
      <c r="AE8" s="476">
        <f t="shared" si="2"/>
        <v>111082337.31660001</v>
      </c>
      <c r="AF8" s="558"/>
      <c r="AG8" s="476">
        <v>121325601.87999998</v>
      </c>
      <c r="AH8" s="475"/>
      <c r="AI8" s="476">
        <f t="shared" si="0"/>
        <v>144569917.26660001</v>
      </c>
      <c r="AJ8" s="537">
        <f t="shared" si="1"/>
        <v>154813181.83000001</v>
      </c>
      <c r="AK8" s="476">
        <f t="shared" si="3"/>
        <v>111082337.31659999</v>
      </c>
      <c r="AL8" s="479" t="s">
        <v>458</v>
      </c>
      <c r="AM8" s="688"/>
      <c r="AN8" s="555"/>
      <c r="AO8" s="688"/>
      <c r="AP8" s="688"/>
      <c r="AQ8" s="688"/>
      <c r="AR8" s="688"/>
      <c r="AS8" s="688"/>
      <c r="AT8" s="688"/>
      <c r="AU8" s="688"/>
      <c r="AV8" s="688"/>
      <c r="AW8" s="688"/>
      <c r="AX8" s="688"/>
      <c r="AY8" s="688"/>
      <c r="AZ8" s="688"/>
      <c r="BA8" s="688"/>
    </row>
    <row r="9" spans="1:53" s="538" customFormat="1" ht="19.25" customHeight="1" thickBot="1" x14ac:dyDescent="0.5">
      <c r="A9" s="689" t="s">
        <v>43</v>
      </c>
      <c r="B9" s="474">
        <f>'2016-2017'!AH9</f>
        <v>198459.15999999829</v>
      </c>
      <c r="C9" s="475">
        <v>198459.16</v>
      </c>
      <c r="D9" s="474"/>
      <c r="E9" s="474">
        <v>0</v>
      </c>
      <c r="F9" s="474"/>
      <c r="G9" s="477">
        <v>0</v>
      </c>
      <c r="H9" s="474"/>
      <c r="I9" s="474">
        <v>0</v>
      </c>
      <c r="J9" s="474"/>
      <c r="K9" s="474"/>
      <c r="L9" s="474"/>
      <c r="M9" s="474"/>
      <c r="N9" s="474"/>
      <c r="O9" s="476"/>
      <c r="P9" s="477"/>
      <c r="Q9" s="477"/>
      <c r="R9" s="477"/>
      <c r="S9" s="477"/>
      <c r="T9" s="477"/>
      <c r="U9" s="477"/>
      <c r="V9" s="477"/>
      <c r="W9" s="477">
        <v>0</v>
      </c>
      <c r="X9" s="477"/>
      <c r="Y9" s="477"/>
      <c r="Z9" s="477"/>
      <c r="AA9" s="477"/>
      <c r="AB9" s="477">
        <v>0</v>
      </c>
      <c r="AC9" s="537"/>
      <c r="AD9" s="537"/>
      <c r="AE9" s="476">
        <f t="shared" si="2"/>
        <v>-1.7171259969472885E-9</v>
      </c>
      <c r="AF9" s="558"/>
      <c r="AG9" s="476">
        <v>198459.15999999829</v>
      </c>
      <c r="AH9" s="475">
        <v>198459.16</v>
      </c>
      <c r="AI9" s="476">
        <f t="shared" si="0"/>
        <v>0</v>
      </c>
      <c r="AJ9" s="537">
        <f t="shared" si="1"/>
        <v>0</v>
      </c>
      <c r="AK9" s="476">
        <f t="shared" si="3"/>
        <v>-1.7171259969472885E-9</v>
      </c>
      <c r="AL9" s="479" t="s">
        <v>458</v>
      </c>
      <c r="AM9" s="688"/>
      <c r="AN9" s="555"/>
      <c r="AO9" s="688"/>
      <c r="AP9" s="688"/>
      <c r="AQ9" s="688"/>
      <c r="AR9" s="688"/>
      <c r="AS9" s="688"/>
      <c r="AT9" s="688"/>
      <c r="AU9" s="688"/>
      <c r="AV9" s="688"/>
      <c r="AW9" s="688"/>
      <c r="AX9" s="688"/>
      <c r="AY9" s="688"/>
      <c r="AZ9" s="688"/>
      <c r="BA9" s="688"/>
    </row>
    <row r="10" spans="1:53" s="538" customFormat="1" ht="19" thickBot="1" x14ac:dyDescent="0.5">
      <c r="A10" s="689" t="s">
        <v>362</v>
      </c>
      <c r="B10" s="474">
        <f>'2016-2017'!AH10</f>
        <v>1827103.2300000004</v>
      </c>
      <c r="C10" s="475">
        <v>705688.35</v>
      </c>
      <c r="D10" s="474">
        <f>637700.74</f>
        <v>637700.74</v>
      </c>
      <c r="E10" s="474">
        <v>1079354.0699999998</v>
      </c>
      <c r="F10" s="474"/>
      <c r="G10" s="477">
        <v>1398030.09</v>
      </c>
      <c r="H10" s="474"/>
      <c r="I10" s="474">
        <v>1082212.5499999998</v>
      </c>
      <c r="J10" s="474">
        <f>601498.07+2477384.16+1082212.55</f>
        <v>4161094.7800000003</v>
      </c>
      <c r="K10" s="474">
        <v>1080535.57</v>
      </c>
      <c r="L10" s="474">
        <v>1080535.57</v>
      </c>
      <c r="M10" s="474">
        <v>1063662.8500000001</v>
      </c>
      <c r="N10" s="474"/>
      <c r="O10" s="476">
        <v>587357.24</v>
      </c>
      <c r="P10" s="477"/>
      <c r="Q10" s="477">
        <v>1540564.23</v>
      </c>
      <c r="R10" s="477">
        <v>2127921.4699999997</v>
      </c>
      <c r="S10" s="477">
        <v>1445383.92</v>
      </c>
      <c r="T10" s="477">
        <v>1445383.92</v>
      </c>
      <c r="U10" s="477">
        <v>787181.98</v>
      </c>
      <c r="V10" s="477"/>
      <c r="W10" s="477">
        <v>1029447.97</v>
      </c>
      <c r="X10" s="477">
        <v>1816629.95</v>
      </c>
      <c r="Y10" s="477">
        <v>997971.14999999991</v>
      </c>
      <c r="Z10" s="477">
        <f>1063662.85+997971.15</f>
        <v>2061634</v>
      </c>
      <c r="AA10" s="477"/>
      <c r="AB10" s="477">
        <v>1139752.49</v>
      </c>
      <c r="AC10" s="537"/>
      <c r="AD10" s="537"/>
      <c r="AE10" s="476">
        <f t="shared" si="2"/>
        <v>1021968.56</v>
      </c>
      <c r="AF10" s="558"/>
      <c r="AG10" s="476">
        <v>1827103.2300000004</v>
      </c>
      <c r="AH10" s="475">
        <v>705688.35</v>
      </c>
      <c r="AI10" s="476">
        <f t="shared" si="0"/>
        <v>13231454.110000003</v>
      </c>
      <c r="AJ10" s="537">
        <f t="shared" si="1"/>
        <v>13330900.43</v>
      </c>
      <c r="AK10" s="476">
        <f t="shared" si="3"/>
        <v>1021968.5600000042</v>
      </c>
      <c r="AL10" s="478" t="s">
        <v>457</v>
      </c>
      <c r="AM10" s="688"/>
      <c r="AN10" s="555"/>
      <c r="AO10" s="688"/>
      <c r="AP10" s="688"/>
      <c r="AQ10" s="688"/>
      <c r="AR10" s="688"/>
      <c r="AS10" s="688"/>
      <c r="AT10" s="688"/>
      <c r="AU10" s="688"/>
      <c r="AV10" s="688"/>
      <c r="AW10" s="688"/>
      <c r="AX10" s="688"/>
      <c r="AY10" s="688"/>
      <c r="AZ10" s="688"/>
      <c r="BA10" s="688"/>
    </row>
    <row r="11" spans="1:53" s="538" customFormat="1" ht="19" thickBot="1" x14ac:dyDescent="0.5">
      <c r="A11" s="689" t="s">
        <v>31</v>
      </c>
      <c r="B11" s="474">
        <f>'2016-2017'!AH11</f>
        <v>-76370.219999998808</v>
      </c>
      <c r="C11" s="475"/>
      <c r="D11" s="474">
        <f>102602.51</f>
        <v>102602.51</v>
      </c>
      <c r="E11" s="474">
        <v>4369825.46</v>
      </c>
      <c r="F11" s="474"/>
      <c r="G11" s="477">
        <v>3874849.3</v>
      </c>
      <c r="H11" s="474">
        <f>2881657.67+1456929.54+1342738.77</f>
        <v>5681325.9800000004</v>
      </c>
      <c r="I11" s="474">
        <v>3910083.61</v>
      </c>
      <c r="J11" s="474">
        <f>2884133.61+999775.35+3883339.34</f>
        <v>7767248.2999999998</v>
      </c>
      <c r="K11" s="474">
        <v>3933302.82</v>
      </c>
      <c r="L11" s="474">
        <f>3912839.74</f>
        <v>3912839.74</v>
      </c>
      <c r="M11" s="474">
        <v>3949893.03</v>
      </c>
      <c r="N11" s="474"/>
      <c r="O11" s="476">
        <v>2825387.32</v>
      </c>
      <c r="P11" s="477">
        <v>3922257.28</v>
      </c>
      <c r="Q11" s="477">
        <v>5014914.9300000006</v>
      </c>
      <c r="R11" s="477"/>
      <c r="S11" s="477">
        <v>4905773.5200000005</v>
      </c>
      <c r="T11" s="477">
        <v>7674842.4900000002</v>
      </c>
      <c r="U11" s="477">
        <v>2707198.8899999997</v>
      </c>
      <c r="V11" s="477">
        <v>2757889.81</v>
      </c>
      <c r="W11" s="477">
        <v>3247290.67</v>
      </c>
      <c r="X11" s="477">
        <v>8167146.4500000002</v>
      </c>
      <c r="Y11" s="477">
        <v>4008076.2800000003</v>
      </c>
      <c r="Z11" s="477"/>
      <c r="AA11" s="477"/>
      <c r="AB11" s="477">
        <v>3913247.34</v>
      </c>
      <c r="AC11" s="537"/>
      <c r="AD11" s="537"/>
      <c r="AE11" s="476">
        <f t="shared" si="2"/>
        <v>6597320.3900000006</v>
      </c>
      <c r="AF11" s="558"/>
      <c r="AG11" s="476">
        <v>-76370.219999998808</v>
      </c>
      <c r="AH11" s="475"/>
      <c r="AI11" s="476">
        <f t="shared" si="0"/>
        <v>46659843.170000002</v>
      </c>
      <c r="AJ11" s="537">
        <f t="shared" si="1"/>
        <v>39986152.560000002</v>
      </c>
      <c r="AK11" s="476">
        <f t="shared" si="3"/>
        <v>6597320.3900000006</v>
      </c>
      <c r="AL11" s="479" t="s">
        <v>457</v>
      </c>
      <c r="AM11" s="688"/>
      <c r="AN11" s="555"/>
      <c r="AO11" s="688"/>
      <c r="AP11" s="688"/>
      <c r="AQ11" s="688"/>
      <c r="AR11" s="688"/>
      <c r="AS11" s="688"/>
      <c r="AT11" s="688"/>
      <c r="AU11" s="688"/>
      <c r="AV11" s="688"/>
      <c r="AW11" s="688"/>
      <c r="AX11" s="688"/>
      <c r="AY11" s="688"/>
      <c r="AZ11" s="688"/>
      <c r="BA11" s="688"/>
    </row>
    <row r="12" spans="1:53" s="538" customFormat="1" ht="19" thickBot="1" x14ac:dyDescent="0.5">
      <c r="A12" s="689" t="s">
        <v>189</v>
      </c>
      <c r="B12" s="474">
        <f>'2016-2017'!AH12</f>
        <v>-2348.8999999994412</v>
      </c>
      <c r="C12" s="475"/>
      <c r="D12" s="474"/>
      <c r="E12" s="474">
        <v>0</v>
      </c>
      <c r="F12" s="474"/>
      <c r="G12" s="477">
        <v>0</v>
      </c>
      <c r="H12" s="474"/>
      <c r="I12" s="474">
        <v>0</v>
      </c>
      <c r="J12" s="474"/>
      <c r="K12" s="474"/>
      <c r="L12" s="474"/>
      <c r="M12" s="474"/>
      <c r="N12" s="474"/>
      <c r="O12" s="476"/>
      <c r="P12" s="477"/>
      <c r="Q12" s="477"/>
      <c r="R12" s="477"/>
      <c r="S12" s="477"/>
      <c r="T12" s="477"/>
      <c r="U12" s="477"/>
      <c r="V12" s="477"/>
      <c r="W12" s="477">
        <v>0</v>
      </c>
      <c r="X12" s="477"/>
      <c r="Y12" s="477"/>
      <c r="Z12" s="477"/>
      <c r="AA12" s="477"/>
      <c r="AB12" s="477">
        <v>0</v>
      </c>
      <c r="AC12" s="537"/>
      <c r="AD12" s="537"/>
      <c r="AE12" s="476">
        <f t="shared" si="2"/>
        <v>-2348.8999999994412</v>
      </c>
      <c r="AF12" s="558"/>
      <c r="AG12" s="476">
        <v>-2348.8999999994412</v>
      </c>
      <c r="AH12" s="475"/>
      <c r="AI12" s="476">
        <f t="shared" si="0"/>
        <v>0</v>
      </c>
      <c r="AJ12" s="537">
        <f t="shared" si="1"/>
        <v>0</v>
      </c>
      <c r="AK12" s="476">
        <f t="shared" si="3"/>
        <v>-2348.8999999994412</v>
      </c>
      <c r="AL12" s="479" t="s">
        <v>458</v>
      </c>
      <c r="AM12" s="688"/>
      <c r="AN12" s="555"/>
      <c r="AO12" s="688"/>
      <c r="AP12" s="688"/>
      <c r="AQ12" s="688"/>
      <c r="AR12" s="688"/>
      <c r="AS12" s="688"/>
      <c r="AT12" s="688"/>
      <c r="AU12" s="688"/>
      <c r="AV12" s="688"/>
      <c r="AW12" s="688"/>
      <c r="AX12" s="688"/>
      <c r="AY12" s="688"/>
      <c r="AZ12" s="688"/>
      <c r="BA12" s="688"/>
    </row>
    <row r="13" spans="1:53" s="538" customFormat="1" ht="19" thickBot="1" x14ac:dyDescent="0.5">
      <c r="A13" s="689" t="s">
        <v>363</v>
      </c>
      <c r="B13" s="474">
        <f>'2016-2017'!AH13</f>
        <v>6338140.6200000197</v>
      </c>
      <c r="C13" s="475">
        <v>757791.65</v>
      </c>
      <c r="D13" s="474"/>
      <c r="E13" s="546">
        <v>5204564.93</v>
      </c>
      <c r="F13" s="474">
        <v>5628940.9900000002</v>
      </c>
      <c r="G13" s="477">
        <v>5712244.4299999997</v>
      </c>
      <c r="H13" s="474">
        <v>5204564.93</v>
      </c>
      <c r="I13" s="474">
        <v>5703814.54</v>
      </c>
      <c r="J13" s="474"/>
      <c r="K13" s="474">
        <v>5690030.2999999998</v>
      </c>
      <c r="L13" s="474">
        <f>11380291.02</f>
        <v>11380291.02</v>
      </c>
      <c r="M13" s="474">
        <v>5725249.2599999998</v>
      </c>
      <c r="N13" s="474">
        <v>5626116.0099999998</v>
      </c>
      <c r="O13" s="476">
        <v>4776393.62</v>
      </c>
      <c r="P13" s="477">
        <v>5675495.75</v>
      </c>
      <c r="Q13" s="477">
        <v>6855759.0999999996</v>
      </c>
      <c r="R13" s="477"/>
      <c r="S13" s="477">
        <v>6718348.9000000004</v>
      </c>
      <c r="T13" s="477">
        <v>16271995.66</v>
      </c>
      <c r="U13" s="477">
        <v>4466983.2700000005</v>
      </c>
      <c r="V13" s="477"/>
      <c r="W13" s="477">
        <v>5534793.21</v>
      </c>
      <c r="X13" s="461">
        <v>9832029.5800000001</v>
      </c>
      <c r="Y13" s="477">
        <v>7118602.8600000003</v>
      </c>
      <c r="Z13" s="477">
        <f>992000+11457957.58</f>
        <v>12449957.58</v>
      </c>
      <c r="AA13" s="477"/>
      <c r="AB13" s="477">
        <v>5869665.2000000011</v>
      </c>
      <c r="AC13" s="537"/>
      <c r="AD13" s="537"/>
      <c r="AE13" s="476">
        <f t="shared" si="2"/>
        <v>2887407.0700000226</v>
      </c>
      <c r="AF13" s="558"/>
      <c r="AG13" s="476">
        <v>6338140.6200000197</v>
      </c>
      <c r="AH13" s="475">
        <v>757791.65</v>
      </c>
      <c r="AI13" s="476">
        <f t="shared" si="0"/>
        <v>69376449.620000005</v>
      </c>
      <c r="AJ13" s="537">
        <f t="shared" si="1"/>
        <v>72069391.519999996</v>
      </c>
      <c r="AK13" s="476">
        <f t="shared" si="3"/>
        <v>2887407.0700000226</v>
      </c>
      <c r="AL13" s="479" t="s">
        <v>457</v>
      </c>
      <c r="AM13" s="688"/>
      <c r="AN13" s="555"/>
      <c r="AO13" s="688"/>
      <c r="AP13" s="688"/>
      <c r="AQ13" s="688"/>
      <c r="AR13" s="688"/>
      <c r="AS13" s="688"/>
      <c r="AT13" s="688"/>
      <c r="AU13" s="688"/>
      <c r="AV13" s="688"/>
      <c r="AW13" s="688"/>
      <c r="AX13" s="688"/>
      <c r="AY13" s="688"/>
      <c r="AZ13" s="688"/>
      <c r="BA13" s="688"/>
    </row>
    <row r="14" spans="1:53" s="538" customFormat="1" ht="19" thickBot="1" x14ac:dyDescent="0.5">
      <c r="A14" s="689" t="s">
        <v>364</v>
      </c>
      <c r="B14" s="474">
        <f>'2016-2017'!AH14</f>
        <v>7014573.3699999973</v>
      </c>
      <c r="C14" s="475">
        <v>1973570.59</v>
      </c>
      <c r="D14" s="474"/>
      <c r="E14" s="474">
        <v>2494539.0300000003</v>
      </c>
      <c r="F14" s="474"/>
      <c r="G14" s="477">
        <v>2447237.83</v>
      </c>
      <c r="H14" s="474">
        <f>7134303.68+401238.13</f>
        <v>7535541.8099999996</v>
      </c>
      <c r="I14" s="474">
        <v>2360674.58</v>
      </c>
      <c r="J14" s="474"/>
      <c r="K14" s="474">
        <v>2318615.92</v>
      </c>
      <c r="L14" s="474">
        <f>4807912.41+2318615.92</f>
        <v>7126528.3300000001</v>
      </c>
      <c r="M14" s="474">
        <v>2340731.13</v>
      </c>
      <c r="N14" s="474">
        <v>2340731.13</v>
      </c>
      <c r="O14" s="476">
        <v>1954711.56</v>
      </c>
      <c r="P14" s="477"/>
      <c r="Q14" s="477">
        <v>3499294.41</v>
      </c>
      <c r="R14" s="477"/>
      <c r="S14" s="477">
        <v>3305528.14</v>
      </c>
      <c r="T14" s="477">
        <v>5454005.9699999997</v>
      </c>
      <c r="U14" s="477">
        <v>2006754.29</v>
      </c>
      <c r="V14" s="477"/>
      <c r="W14" s="477">
        <v>5219770.2700000005</v>
      </c>
      <c r="X14" s="477">
        <v>2006754.29</v>
      </c>
      <c r="Y14" s="477">
        <v>2828224.97</v>
      </c>
      <c r="Z14" s="530">
        <f>2828224.97</f>
        <v>2828224.97</v>
      </c>
      <c r="AA14" s="477"/>
      <c r="AB14" s="477">
        <v>3815235.58</v>
      </c>
      <c r="AC14" s="537"/>
      <c r="AD14" s="537"/>
      <c r="AE14" s="476">
        <f t="shared" si="2"/>
        <v>12340533.99</v>
      </c>
      <c r="AF14" s="558"/>
      <c r="AG14" s="476">
        <v>7014573.3699999973</v>
      </c>
      <c r="AH14" s="475">
        <v>1973570.59</v>
      </c>
      <c r="AI14" s="476">
        <f t="shared" si="0"/>
        <v>34591317.710000001</v>
      </c>
      <c r="AJ14" s="537">
        <f t="shared" si="1"/>
        <v>27291786.499999996</v>
      </c>
      <c r="AK14" s="476">
        <f t="shared" si="3"/>
        <v>12340533.989999998</v>
      </c>
      <c r="AL14" s="479" t="s">
        <v>457</v>
      </c>
      <c r="AM14" s="688"/>
      <c r="AN14" s="555"/>
      <c r="AO14" s="688"/>
      <c r="AP14" s="688"/>
      <c r="AQ14" s="688"/>
      <c r="AR14" s="688"/>
      <c r="AS14" s="688"/>
      <c r="AT14" s="688"/>
      <c r="AU14" s="688"/>
      <c r="AV14" s="688"/>
      <c r="AW14" s="688"/>
      <c r="AX14" s="688"/>
      <c r="AY14" s="688"/>
      <c r="AZ14" s="688"/>
      <c r="BA14" s="688"/>
    </row>
    <row r="15" spans="1:53" s="538" customFormat="1" ht="19" thickBot="1" x14ac:dyDescent="0.5">
      <c r="A15" s="689" t="s">
        <v>86</v>
      </c>
      <c r="B15" s="474">
        <f>'2016-2017'!AH15</f>
        <v>54328.630000000121</v>
      </c>
      <c r="C15" s="475">
        <v>139600.63</v>
      </c>
      <c r="D15" s="474"/>
      <c r="E15" s="474">
        <v>7752</v>
      </c>
      <c r="F15" s="474"/>
      <c r="G15" s="477">
        <v>7752</v>
      </c>
      <c r="H15" s="474"/>
      <c r="I15" s="474">
        <v>7752</v>
      </c>
      <c r="J15" s="474"/>
      <c r="K15" s="474">
        <v>7752</v>
      </c>
      <c r="L15" s="474"/>
      <c r="M15" s="474">
        <v>7752</v>
      </c>
      <c r="N15" s="474"/>
      <c r="O15" s="476">
        <v>7752</v>
      </c>
      <c r="P15" s="477"/>
      <c r="Q15" s="477">
        <v>7752</v>
      </c>
      <c r="R15" s="477"/>
      <c r="S15" s="477">
        <v>7752</v>
      </c>
      <c r="T15" s="477"/>
      <c r="U15" s="477">
        <v>7752</v>
      </c>
      <c r="V15" s="477"/>
      <c r="W15" s="477">
        <v>7752</v>
      </c>
      <c r="X15" s="477"/>
      <c r="Y15" s="477">
        <v>7752</v>
      </c>
      <c r="Z15" s="477"/>
      <c r="AA15" s="477"/>
      <c r="AB15" s="477">
        <v>7752</v>
      </c>
      <c r="AC15" s="537"/>
      <c r="AD15" s="537"/>
      <c r="AE15" s="476">
        <f t="shared" si="2"/>
        <v>7752.0000000001164</v>
      </c>
      <c r="AF15" s="558"/>
      <c r="AG15" s="476">
        <v>54328.630000000121</v>
      </c>
      <c r="AH15" s="475">
        <v>139600.63</v>
      </c>
      <c r="AI15" s="476">
        <f t="shared" si="0"/>
        <v>93024</v>
      </c>
      <c r="AJ15" s="537">
        <f t="shared" si="1"/>
        <v>0</v>
      </c>
      <c r="AK15" s="476">
        <f t="shared" si="3"/>
        <v>7752.0000000001164</v>
      </c>
      <c r="AL15" s="479" t="s">
        <v>458</v>
      </c>
      <c r="AM15" s="688"/>
      <c r="AN15" s="555"/>
      <c r="AO15" s="688"/>
      <c r="AP15" s="688"/>
      <c r="AQ15" s="688"/>
      <c r="AR15" s="688"/>
      <c r="AS15" s="688"/>
      <c r="AT15" s="688"/>
      <c r="AU15" s="688"/>
      <c r="AV15" s="688"/>
      <c r="AW15" s="688"/>
      <c r="AX15" s="688"/>
      <c r="AY15" s="688"/>
      <c r="AZ15" s="688"/>
      <c r="BA15" s="688"/>
    </row>
    <row r="16" spans="1:53" s="538" customFormat="1" ht="19" thickBot="1" x14ac:dyDescent="0.5">
      <c r="A16" s="689" t="s">
        <v>334</v>
      </c>
      <c r="B16" s="474">
        <f>'2016-2017'!AH16</f>
        <v>28323.989999998361</v>
      </c>
      <c r="C16" s="475">
        <v>124562.99</v>
      </c>
      <c r="D16" s="474"/>
      <c r="E16" s="474">
        <v>8749</v>
      </c>
      <c r="F16" s="474"/>
      <c r="G16" s="477">
        <v>8749</v>
      </c>
      <c r="H16" s="474"/>
      <c r="I16" s="474">
        <v>8749</v>
      </c>
      <c r="J16" s="474"/>
      <c r="K16" s="474">
        <v>8749</v>
      </c>
      <c r="L16" s="474"/>
      <c r="M16" s="477">
        <v>8749</v>
      </c>
      <c r="N16" s="474"/>
      <c r="O16" s="476">
        <v>8749</v>
      </c>
      <c r="P16" s="477"/>
      <c r="Q16" s="477">
        <v>8749</v>
      </c>
      <c r="R16" s="477"/>
      <c r="S16" s="477">
        <v>8749</v>
      </c>
      <c r="T16" s="477"/>
      <c r="U16" s="477">
        <v>8749</v>
      </c>
      <c r="V16" s="477"/>
      <c r="W16" s="477">
        <v>8749</v>
      </c>
      <c r="X16" s="477"/>
      <c r="Y16" s="477">
        <v>8749</v>
      </c>
      <c r="Z16" s="477"/>
      <c r="AA16" s="477"/>
      <c r="AB16" s="477">
        <v>8749</v>
      </c>
      <c r="AC16" s="537"/>
      <c r="AD16" s="537"/>
      <c r="AE16" s="476">
        <f t="shared" si="2"/>
        <v>8748.9999999983556</v>
      </c>
      <c r="AF16" s="558"/>
      <c r="AG16" s="476">
        <v>28323.989999998361</v>
      </c>
      <c r="AH16" s="475">
        <v>124562.99</v>
      </c>
      <c r="AI16" s="476">
        <f t="shared" si="0"/>
        <v>104988</v>
      </c>
      <c r="AJ16" s="537">
        <f t="shared" si="1"/>
        <v>0</v>
      </c>
      <c r="AK16" s="476">
        <f t="shared" si="3"/>
        <v>8748.9999999983556</v>
      </c>
      <c r="AL16" s="479" t="s">
        <v>458</v>
      </c>
      <c r="AM16" s="688"/>
      <c r="AN16" s="555"/>
      <c r="AO16" s="688"/>
      <c r="AP16" s="688"/>
      <c r="AQ16" s="688"/>
      <c r="AR16" s="688"/>
      <c r="AS16" s="688"/>
      <c r="AT16" s="688"/>
      <c r="AU16" s="688"/>
      <c r="AV16" s="688"/>
      <c r="AW16" s="688"/>
      <c r="AX16" s="688"/>
      <c r="AY16" s="688"/>
      <c r="AZ16" s="688"/>
      <c r="BA16" s="688"/>
    </row>
    <row r="17" spans="1:53" s="538" customFormat="1" ht="19" thickBot="1" x14ac:dyDescent="0.5">
      <c r="A17" s="689" t="s">
        <v>459</v>
      </c>
      <c r="B17" s="474"/>
      <c r="C17" s="475"/>
      <c r="D17" s="474"/>
      <c r="E17" s="474"/>
      <c r="F17" s="474"/>
      <c r="G17" s="477"/>
      <c r="H17" s="474"/>
      <c r="I17" s="474"/>
      <c r="J17" s="474"/>
      <c r="K17" s="474"/>
      <c r="L17" s="474"/>
      <c r="M17" s="477"/>
      <c r="N17" s="474"/>
      <c r="O17" s="476">
        <v>105652.08</v>
      </c>
      <c r="P17" s="477"/>
      <c r="Q17" s="477">
        <v>54323.57</v>
      </c>
      <c r="R17" s="477"/>
      <c r="S17" s="477">
        <v>-27854.62000000001</v>
      </c>
      <c r="T17" s="477"/>
      <c r="U17" s="477">
        <v>-158406.82</v>
      </c>
      <c r="V17" s="477"/>
      <c r="W17" s="477">
        <v>236258.44</v>
      </c>
      <c r="X17" s="477"/>
      <c r="Y17" s="477">
        <v>61709.22</v>
      </c>
      <c r="Z17" s="477"/>
      <c r="AA17" s="477"/>
      <c r="AB17" s="477">
        <v>35501.129999999997</v>
      </c>
      <c r="AC17" s="537"/>
      <c r="AD17" s="537"/>
      <c r="AE17" s="476">
        <f t="shared" si="2"/>
        <v>307183</v>
      </c>
      <c r="AF17" s="558"/>
      <c r="AG17" s="476"/>
      <c r="AH17" s="475"/>
      <c r="AI17" s="476">
        <f t="shared" si="0"/>
        <v>307183</v>
      </c>
      <c r="AJ17" s="537">
        <f t="shared" si="1"/>
        <v>0</v>
      </c>
      <c r="AK17" s="476">
        <f t="shared" si="3"/>
        <v>307183</v>
      </c>
      <c r="AL17" s="479"/>
      <c r="AM17" s="688"/>
      <c r="AN17" s="555"/>
      <c r="AO17" s="688"/>
      <c r="AP17" s="688"/>
      <c r="AQ17" s="688"/>
      <c r="AR17" s="688"/>
      <c r="AS17" s="688"/>
      <c r="AT17" s="688"/>
      <c r="AU17" s="688"/>
      <c r="AV17" s="688"/>
      <c r="AW17" s="688"/>
      <c r="AX17" s="688"/>
      <c r="AY17" s="688"/>
      <c r="AZ17" s="688"/>
      <c r="BA17" s="688"/>
    </row>
    <row r="18" spans="1:53" s="538" customFormat="1" ht="19" thickBot="1" x14ac:dyDescent="0.5">
      <c r="A18" s="689" t="s">
        <v>460</v>
      </c>
      <c r="B18" s="474"/>
      <c r="C18" s="475"/>
      <c r="D18" s="474"/>
      <c r="E18" s="474"/>
      <c r="F18" s="474"/>
      <c r="G18" s="477"/>
      <c r="H18" s="474"/>
      <c r="I18" s="474"/>
      <c r="J18" s="474"/>
      <c r="K18" s="474"/>
      <c r="L18" s="474"/>
      <c r="M18" s="477"/>
      <c r="N18" s="474"/>
      <c r="O18" s="476"/>
      <c r="P18" s="477"/>
      <c r="Q18" s="477">
        <v>698.65</v>
      </c>
      <c r="R18" s="477"/>
      <c r="S18" s="477">
        <v>2995.56</v>
      </c>
      <c r="T18" s="477"/>
      <c r="U18" s="477"/>
      <c r="V18" s="477"/>
      <c r="W18" s="477">
        <v>0</v>
      </c>
      <c r="X18" s="477"/>
      <c r="Y18" s="477">
        <v>41875.1</v>
      </c>
      <c r="Z18" s="477"/>
      <c r="AA18" s="477"/>
      <c r="AB18" s="477">
        <v>8712.2099999999991</v>
      </c>
      <c r="AC18" s="537"/>
      <c r="AD18" s="537"/>
      <c r="AE18" s="476">
        <f t="shared" si="2"/>
        <v>54281.52</v>
      </c>
      <c r="AF18" s="558"/>
      <c r="AG18" s="476"/>
      <c r="AH18" s="475"/>
      <c r="AI18" s="476">
        <f t="shared" si="0"/>
        <v>54281.52</v>
      </c>
      <c r="AJ18" s="537">
        <f t="shared" si="1"/>
        <v>0</v>
      </c>
      <c r="AK18" s="476">
        <f t="shared" si="3"/>
        <v>54281.52</v>
      </c>
      <c r="AL18" s="479"/>
      <c r="AM18" s="688"/>
      <c r="AN18" s="555"/>
      <c r="AO18" s="688"/>
      <c r="AP18" s="688"/>
      <c r="AQ18" s="688"/>
      <c r="AR18" s="688"/>
      <c r="AS18" s="688"/>
      <c r="AT18" s="688"/>
      <c r="AU18" s="688"/>
      <c r="AV18" s="688"/>
      <c r="AW18" s="688"/>
      <c r="AX18" s="688"/>
      <c r="AY18" s="688"/>
      <c r="AZ18" s="688"/>
      <c r="BA18" s="688"/>
    </row>
    <row r="19" spans="1:53" s="538" customFormat="1" ht="19" thickBot="1" x14ac:dyDescent="0.5">
      <c r="A19" s="689" t="s">
        <v>461</v>
      </c>
      <c r="B19" s="474"/>
      <c r="C19" s="475"/>
      <c r="D19" s="474"/>
      <c r="E19" s="474"/>
      <c r="F19" s="474"/>
      <c r="G19" s="477"/>
      <c r="H19" s="474"/>
      <c r="I19" s="474"/>
      <c r="J19" s="474"/>
      <c r="K19" s="474"/>
      <c r="L19" s="474"/>
      <c r="M19" s="477"/>
      <c r="N19" s="474"/>
      <c r="O19" s="476"/>
      <c r="P19" s="477"/>
      <c r="Q19" s="477"/>
      <c r="R19" s="477"/>
      <c r="S19" s="477">
        <v>1127.1300000000001</v>
      </c>
      <c r="T19" s="477"/>
      <c r="U19" s="477"/>
      <c r="V19" s="477"/>
      <c r="W19" s="477">
        <v>0</v>
      </c>
      <c r="X19" s="477"/>
      <c r="Y19" s="477"/>
      <c r="Z19" s="477"/>
      <c r="AA19" s="477"/>
      <c r="AB19" s="477">
        <v>0</v>
      </c>
      <c r="AC19" s="537"/>
      <c r="AD19" s="537"/>
      <c r="AE19" s="476">
        <f t="shared" si="2"/>
        <v>1127.1300000000001</v>
      </c>
      <c r="AF19" s="558"/>
      <c r="AG19" s="476"/>
      <c r="AH19" s="475"/>
      <c r="AI19" s="476">
        <f t="shared" si="0"/>
        <v>1127.1300000000001</v>
      </c>
      <c r="AJ19" s="537">
        <f t="shared" si="1"/>
        <v>0</v>
      </c>
      <c r="AK19" s="476">
        <f t="shared" si="3"/>
        <v>1127.1300000000001</v>
      </c>
      <c r="AL19" s="479"/>
      <c r="AM19" s="688"/>
      <c r="AN19" s="555"/>
      <c r="AO19" s="688"/>
      <c r="AP19" s="688"/>
      <c r="AQ19" s="688"/>
      <c r="AR19" s="688"/>
      <c r="AS19" s="688"/>
      <c r="AT19" s="688"/>
      <c r="AU19" s="688"/>
      <c r="AV19" s="688"/>
      <c r="AW19" s="688"/>
      <c r="AX19" s="688"/>
      <c r="AY19" s="688"/>
      <c r="AZ19" s="688"/>
      <c r="BA19" s="688"/>
    </row>
    <row r="20" spans="1:53" s="538" customFormat="1" ht="19" thickBot="1" x14ac:dyDescent="0.5">
      <c r="A20" s="689" t="s">
        <v>41</v>
      </c>
      <c r="B20" s="474">
        <f>'2016-2017'!AH17</f>
        <v>4803905.1799999978</v>
      </c>
      <c r="C20" s="475"/>
      <c r="D20" s="474">
        <f>45616.35+33691.87</f>
        <v>79308.22</v>
      </c>
      <c r="E20" s="474">
        <v>1095043.69</v>
      </c>
      <c r="F20" s="474">
        <v>955250.73</v>
      </c>
      <c r="G20" s="477">
        <v>1102219.48</v>
      </c>
      <c r="H20" s="474">
        <f>1010457.12</f>
        <v>1010457.12</v>
      </c>
      <c r="I20" s="474">
        <v>1056461.08</v>
      </c>
      <c r="J20" s="474">
        <f>808+1012558.17+344.5</f>
        <v>1013710.67</v>
      </c>
      <c r="K20" s="474">
        <v>1033684.31</v>
      </c>
      <c r="L20" s="474">
        <v>980301.43</v>
      </c>
      <c r="M20" s="477">
        <v>1062913.4100000001</v>
      </c>
      <c r="N20" s="474">
        <f>589+950305.32+94337.23</f>
        <v>1045231.5499999999</v>
      </c>
      <c r="O20" s="476"/>
      <c r="P20" s="477">
        <f>314.5+939367.02</f>
        <v>939681.52</v>
      </c>
      <c r="Q20" s="477">
        <v>1926001.94</v>
      </c>
      <c r="R20" s="477">
        <v>1773719.07</v>
      </c>
      <c r="S20" s="477">
        <v>1226696.1000000001</v>
      </c>
      <c r="T20" s="477">
        <v>871.5</v>
      </c>
      <c r="U20" s="477">
        <v>378743.24</v>
      </c>
      <c r="V20" s="477">
        <v>1440164.89</v>
      </c>
      <c r="W20" s="477">
        <v>698076.45</v>
      </c>
      <c r="X20" s="477"/>
      <c r="Y20" s="477">
        <v>716812.81</v>
      </c>
      <c r="Z20" s="477">
        <f>591066.92+30636.69+392505.71+633.5</f>
        <v>1014842.8200000001</v>
      </c>
      <c r="AA20" s="477"/>
      <c r="AB20" s="477">
        <v>2464408.11</v>
      </c>
      <c r="AC20" s="537"/>
      <c r="AD20" s="537"/>
      <c r="AE20" s="476">
        <f t="shared" si="2"/>
        <v>7311426.2799999993</v>
      </c>
      <c r="AF20" s="558"/>
      <c r="AG20" s="476">
        <v>4803905.1799999978</v>
      </c>
      <c r="AH20" s="475"/>
      <c r="AI20" s="476">
        <f t="shared" si="0"/>
        <v>12761060.619999999</v>
      </c>
      <c r="AJ20" s="537">
        <f t="shared" si="1"/>
        <v>10253539.520000001</v>
      </c>
      <c r="AK20" s="476">
        <f t="shared" si="3"/>
        <v>7311426.2799999956</v>
      </c>
      <c r="AL20" s="479" t="s">
        <v>457</v>
      </c>
      <c r="AM20" s="688"/>
      <c r="AN20" s="555"/>
      <c r="AO20" s="688"/>
      <c r="AP20" s="688"/>
      <c r="AQ20" s="688"/>
      <c r="AR20" s="688"/>
      <c r="AS20" s="688"/>
      <c r="AT20" s="688"/>
      <c r="AU20" s="688"/>
      <c r="AV20" s="688"/>
      <c r="AW20" s="688"/>
      <c r="AX20" s="688"/>
      <c r="AY20" s="688"/>
      <c r="AZ20" s="688"/>
      <c r="BA20" s="688"/>
    </row>
    <row r="21" spans="1:53" s="538" customFormat="1" ht="19" thickBot="1" x14ac:dyDescent="0.5">
      <c r="A21" s="689" t="s">
        <v>26</v>
      </c>
      <c r="B21" s="474">
        <f>'2016-2017'!AH18</f>
        <v>5437301.2400000095</v>
      </c>
      <c r="C21" s="475"/>
      <c r="D21" s="474">
        <v>3985702.89</v>
      </c>
      <c r="E21" s="474">
        <v>5031941.5900000008</v>
      </c>
      <c r="F21" s="474">
        <f>1451598.33</f>
        <v>1451598.33</v>
      </c>
      <c r="G21" s="477">
        <v>4809437.37</v>
      </c>
      <c r="H21" s="474"/>
      <c r="I21" s="474">
        <v>5032072.3599999994</v>
      </c>
      <c r="J21" s="474">
        <f>5031941.59+9841509.73</f>
        <v>14873451.32</v>
      </c>
      <c r="K21" s="474">
        <v>4749705.16</v>
      </c>
      <c r="L21" s="474">
        <v>4749705.16</v>
      </c>
      <c r="M21" s="474">
        <v>4966173.0999999996</v>
      </c>
      <c r="N21" s="474">
        <v>4966173.0999999996</v>
      </c>
      <c r="O21" s="476">
        <v>3736770.11</v>
      </c>
      <c r="P21" s="477"/>
      <c r="Q21" s="477">
        <v>5877334.3199999994</v>
      </c>
      <c r="R21" s="477"/>
      <c r="S21" s="477">
        <v>6801183.2600000007</v>
      </c>
      <c r="T21" s="477">
        <v>9614104.4299999997</v>
      </c>
      <c r="U21" s="477">
        <v>3362248.96</v>
      </c>
      <c r="V21" s="477"/>
      <c r="W21" s="477">
        <v>7135559.9100000001</v>
      </c>
      <c r="X21" s="477">
        <v>10163432.219999999</v>
      </c>
      <c r="Y21" s="477">
        <v>6479172.3999999994</v>
      </c>
      <c r="Z21" s="477"/>
      <c r="AA21" s="477"/>
      <c r="AB21" s="477">
        <v>5683640.9699999997</v>
      </c>
      <c r="AC21" s="537"/>
      <c r="AD21" s="537"/>
      <c r="AE21" s="476">
        <f t="shared" si="2"/>
        <v>19298373.300000012</v>
      </c>
      <c r="AF21" s="558"/>
      <c r="AG21" s="476">
        <v>5437301.2400000095</v>
      </c>
      <c r="AH21" s="475"/>
      <c r="AI21" s="476">
        <f t="shared" si="0"/>
        <v>63665239.509999998</v>
      </c>
      <c r="AJ21" s="537">
        <f t="shared" si="1"/>
        <v>49804167.449999996</v>
      </c>
      <c r="AK21" s="476">
        <f t="shared" si="3"/>
        <v>19298373.300000004</v>
      </c>
      <c r="AL21" s="479" t="s">
        <v>457</v>
      </c>
      <c r="AM21" s="688"/>
      <c r="AN21" s="555"/>
      <c r="AO21" s="688"/>
      <c r="AP21" s="688"/>
      <c r="AQ21" s="688"/>
      <c r="AR21" s="688"/>
      <c r="AS21" s="688"/>
      <c r="AT21" s="688"/>
      <c r="AU21" s="688"/>
      <c r="AV21" s="688"/>
      <c r="AW21" s="688"/>
      <c r="AX21" s="688"/>
      <c r="AY21" s="688"/>
      <c r="AZ21" s="688"/>
      <c r="BA21" s="688"/>
    </row>
    <row r="22" spans="1:53" s="538" customFormat="1" ht="19" thickBot="1" x14ac:dyDescent="0.5">
      <c r="A22" s="689" t="s">
        <v>36</v>
      </c>
      <c r="B22" s="474">
        <f>'2016-2017'!AH19</f>
        <v>1466602.6999999955</v>
      </c>
      <c r="C22" s="475"/>
      <c r="D22" s="474">
        <f>652166.25+1130160.66</f>
        <v>1782326.91</v>
      </c>
      <c r="E22" s="474">
        <v>1243165.1500000001</v>
      </c>
      <c r="F22" s="474"/>
      <c r="G22" s="477">
        <v>1254245.04</v>
      </c>
      <c r="H22" s="474"/>
      <c r="I22" s="474">
        <v>1248122.1400000001</v>
      </c>
      <c r="J22" s="474">
        <f>1191021.83</f>
        <v>1191021.83</v>
      </c>
      <c r="K22" s="474">
        <f>1230994.24+14398.04</f>
        <v>1245392.28</v>
      </c>
      <c r="L22" s="474">
        <f>1248122.14+1245392.28</f>
        <v>2493514.42</v>
      </c>
      <c r="M22" s="477">
        <v>1317860.0699999998</v>
      </c>
      <c r="N22" s="474"/>
      <c r="O22" s="476"/>
      <c r="P22" s="477"/>
      <c r="Q22" s="477">
        <v>2054867.65</v>
      </c>
      <c r="R22" s="477">
        <v>1169642.8899999999</v>
      </c>
      <c r="S22" s="477">
        <v>1357483.9000000001</v>
      </c>
      <c r="T22" s="477"/>
      <c r="U22" s="477">
        <v>1544882.22</v>
      </c>
      <c r="V22" s="477"/>
      <c r="W22" s="477">
        <v>2880021.3700000006</v>
      </c>
      <c r="X22" s="477">
        <v>4957233.7699999996</v>
      </c>
      <c r="Y22" s="477">
        <v>1323345.76</v>
      </c>
      <c r="Z22" s="477"/>
      <c r="AA22" s="477"/>
      <c r="AB22" s="477">
        <v>3628368.61</v>
      </c>
      <c r="AC22" s="537"/>
      <c r="AD22" s="537"/>
      <c r="AE22" s="476">
        <f t="shared" si="2"/>
        <v>8970617.0699999966</v>
      </c>
      <c r="AF22" s="558"/>
      <c r="AG22" s="476">
        <v>1466602.6999999955</v>
      </c>
      <c r="AH22" s="475"/>
      <c r="AI22" s="476">
        <f t="shared" si="0"/>
        <v>19097754.190000001</v>
      </c>
      <c r="AJ22" s="537">
        <f t="shared" si="1"/>
        <v>11593739.82</v>
      </c>
      <c r="AK22" s="476">
        <f t="shared" si="3"/>
        <v>8970617.0699999966</v>
      </c>
      <c r="AL22" s="479" t="s">
        <v>457</v>
      </c>
      <c r="AM22" s="458"/>
      <c r="AN22" s="555"/>
      <c r="AO22" s="688"/>
      <c r="AP22" s="688"/>
      <c r="AQ22" s="688"/>
      <c r="AR22" s="688"/>
      <c r="AS22" s="688"/>
      <c r="AT22" s="688"/>
      <c r="AU22" s="688"/>
      <c r="AV22" s="688"/>
      <c r="AW22" s="688"/>
      <c r="AX22" s="688"/>
      <c r="AY22" s="688"/>
      <c r="AZ22" s="688"/>
      <c r="BA22" s="688"/>
    </row>
    <row r="23" spans="1:53" s="538" customFormat="1" ht="19" thickBot="1" x14ac:dyDescent="0.5">
      <c r="A23" s="689" t="s">
        <v>23</v>
      </c>
      <c r="B23" s="474">
        <v>4930109.22</v>
      </c>
      <c r="C23" s="475">
        <v>3147019.14</v>
      </c>
      <c r="D23" s="474"/>
      <c r="E23" s="474">
        <v>3217539.95</v>
      </c>
      <c r="F23" s="474">
        <v>2398737.34</v>
      </c>
      <c r="G23" s="477">
        <v>3288179.69</v>
      </c>
      <c r="H23" s="474">
        <f>4063575.84</f>
        <v>4063575.84</v>
      </c>
      <c r="I23" s="474">
        <v>3270805.18</v>
      </c>
      <c r="J23" s="474">
        <v>3256892.54</v>
      </c>
      <c r="K23" s="474">
        <v>3323831.7300000004</v>
      </c>
      <c r="L23" s="474">
        <f>3240128.47</f>
        <v>3240128.47</v>
      </c>
      <c r="M23" s="474">
        <v>3217139.1599999997</v>
      </c>
      <c r="N23" s="474">
        <v>3272321.46</v>
      </c>
      <c r="O23" s="476">
        <v>2483239.4600000004</v>
      </c>
      <c r="P23" s="477">
        <v>3172269.4</v>
      </c>
      <c r="Q23" s="477">
        <v>4128917.88</v>
      </c>
      <c r="R23" s="477"/>
      <c r="S23" s="477">
        <v>3960017.75</v>
      </c>
      <c r="T23" s="477">
        <f>6470946.68</f>
        <v>6470946.6799999997</v>
      </c>
      <c r="U23" s="477">
        <f>2509764.26</f>
        <v>2509764.2599999998</v>
      </c>
      <c r="V23" s="477"/>
      <c r="W23" s="477">
        <v>2931901.37</v>
      </c>
      <c r="X23" s="477"/>
      <c r="Y23" s="477">
        <v>3338616.75</v>
      </c>
      <c r="Z23" s="477">
        <f>3236336.24+3085249.81+2853837.81+3220106.69</f>
        <v>12395530.550000001</v>
      </c>
      <c r="AA23" s="477"/>
      <c r="AB23" s="477">
        <v>3078676.01</v>
      </c>
      <c r="AC23" s="537"/>
      <c r="AD23" s="537"/>
      <c r="AE23" s="476">
        <f t="shared" si="2"/>
        <v>2261316.9900000002</v>
      </c>
      <c r="AF23" s="558"/>
      <c r="AG23" s="476">
        <v>4930109.22</v>
      </c>
      <c r="AH23" s="475">
        <v>3147019.14</v>
      </c>
      <c r="AI23" s="476">
        <f t="shared" si="0"/>
        <v>38748629.190000005</v>
      </c>
      <c r="AJ23" s="537">
        <f t="shared" si="1"/>
        <v>38270402.280000001</v>
      </c>
      <c r="AK23" s="476">
        <f t="shared" si="3"/>
        <v>2261316.9900000021</v>
      </c>
      <c r="AL23" s="479" t="s">
        <v>457</v>
      </c>
      <c r="AM23" s="458"/>
      <c r="AN23" s="555"/>
      <c r="AO23" s="688"/>
      <c r="AP23" s="688"/>
      <c r="AQ23" s="688"/>
      <c r="AR23" s="688"/>
      <c r="AS23" s="688"/>
      <c r="AT23" s="688"/>
      <c r="AU23" s="688"/>
      <c r="AV23" s="688"/>
      <c r="AW23" s="688"/>
      <c r="AX23" s="688"/>
      <c r="AY23" s="688"/>
      <c r="AZ23" s="688"/>
      <c r="BA23" s="688"/>
    </row>
    <row r="24" spans="1:53" s="538" customFormat="1" ht="19" thickBot="1" x14ac:dyDescent="0.5">
      <c r="A24" s="689" t="s">
        <v>21</v>
      </c>
      <c r="B24" s="474">
        <v>15408191.74</v>
      </c>
      <c r="C24" s="475"/>
      <c r="D24" s="474">
        <v>4383601.5199999996</v>
      </c>
      <c r="E24" s="474">
        <v>2632724.63</v>
      </c>
      <c r="F24" s="474">
        <f>2760395.48+2722462.06+1709160.06</f>
        <v>7192017.5999999996</v>
      </c>
      <c r="G24" s="477">
        <v>2656899.34</v>
      </c>
      <c r="H24" s="474">
        <f>4117016.4</f>
        <v>4117016.4</v>
      </c>
      <c r="I24" s="474">
        <v>2552224.29</v>
      </c>
      <c r="J24" s="474">
        <v>3853887.31</v>
      </c>
      <c r="K24" s="474">
        <v>2732475.45</v>
      </c>
      <c r="L24" s="474">
        <v>356681.62</v>
      </c>
      <c r="M24" s="474">
        <v>2710419.75</v>
      </c>
      <c r="N24" s="474">
        <f>5209123.63+2732475.45</f>
        <v>7941599.0800000001</v>
      </c>
      <c r="O24" s="476">
        <v>1938181.18</v>
      </c>
      <c r="P24" s="477">
        <v>2710419.75</v>
      </c>
      <c r="Q24" s="477">
        <v>3524252.54</v>
      </c>
      <c r="R24" s="477"/>
      <c r="S24" s="477">
        <v>3097444.9</v>
      </c>
      <c r="T24" s="477">
        <v>1938230.68</v>
      </c>
      <c r="U24" s="477">
        <v>1651650.0899999999</v>
      </c>
      <c r="V24" s="477">
        <v>3524252.54</v>
      </c>
      <c r="W24" s="477">
        <v>2256327.58</v>
      </c>
      <c r="X24" s="477"/>
      <c r="Y24" s="477">
        <v>2644984.64</v>
      </c>
      <c r="Z24" s="477"/>
      <c r="AA24" s="477"/>
      <c r="AB24" s="477">
        <v>2658915.81</v>
      </c>
      <c r="AC24" s="537"/>
      <c r="AD24" s="537"/>
      <c r="AE24" s="476">
        <f t="shared" si="2"/>
        <v>10446985.439999999</v>
      </c>
      <c r="AF24" s="558"/>
      <c r="AG24" s="476">
        <v>15408191.74</v>
      </c>
      <c r="AH24" s="475"/>
      <c r="AI24" s="476">
        <f t="shared" si="0"/>
        <v>31056500.199999999</v>
      </c>
      <c r="AJ24" s="537">
        <f t="shared" si="1"/>
        <v>36017706.5</v>
      </c>
      <c r="AK24" s="476">
        <f t="shared" si="3"/>
        <v>10446985.439999998</v>
      </c>
      <c r="AL24" s="479" t="s">
        <v>457</v>
      </c>
      <c r="AM24" s="688"/>
      <c r="AN24" s="555"/>
      <c r="AO24" s="688"/>
      <c r="AP24" s="688"/>
      <c r="AQ24" s="688"/>
      <c r="AR24" s="688"/>
      <c r="AS24" s="688"/>
      <c r="AT24" s="688"/>
      <c r="AU24" s="688"/>
      <c r="AV24" s="688"/>
      <c r="AW24" s="688"/>
      <c r="AX24" s="688"/>
      <c r="AY24" s="688"/>
      <c r="AZ24" s="688"/>
      <c r="BA24" s="688"/>
    </row>
    <row r="25" spans="1:53" s="538" customFormat="1" ht="19" thickBot="1" x14ac:dyDescent="0.5">
      <c r="A25" s="689" t="s">
        <v>462</v>
      </c>
      <c r="B25" s="474">
        <v>3251055.06</v>
      </c>
      <c r="C25" s="475">
        <v>3251055.06</v>
      </c>
      <c r="D25" s="474"/>
      <c r="E25" s="474"/>
      <c r="F25" s="474"/>
      <c r="G25" s="477"/>
      <c r="H25" s="474"/>
      <c r="I25" s="474">
        <v>0</v>
      </c>
      <c r="J25" s="474"/>
      <c r="K25" s="474"/>
      <c r="L25" s="474"/>
      <c r="M25" s="474"/>
      <c r="N25" s="474"/>
      <c r="O25" s="476"/>
      <c r="P25" s="477"/>
      <c r="Q25" s="477"/>
      <c r="R25" s="477"/>
      <c r="S25" s="477"/>
      <c r="T25" s="477"/>
      <c r="U25" s="477"/>
      <c r="V25" s="477"/>
      <c r="W25" s="477">
        <v>0</v>
      </c>
      <c r="X25" s="477"/>
      <c r="Y25" s="477"/>
      <c r="Z25" s="477"/>
      <c r="AA25" s="477"/>
      <c r="AB25" s="477">
        <v>0</v>
      </c>
      <c r="AC25" s="537"/>
      <c r="AD25" s="537"/>
      <c r="AE25" s="476">
        <f t="shared" si="2"/>
        <v>0</v>
      </c>
      <c r="AF25" s="558"/>
      <c r="AG25" s="476">
        <v>3251055.06</v>
      </c>
      <c r="AH25" s="475">
        <v>3251055.06</v>
      </c>
      <c r="AI25" s="476">
        <f t="shared" si="0"/>
        <v>0</v>
      </c>
      <c r="AJ25" s="537">
        <f t="shared" si="1"/>
        <v>0</v>
      </c>
      <c r="AK25" s="476">
        <f t="shared" si="3"/>
        <v>0</v>
      </c>
      <c r="AL25" s="479" t="s">
        <v>458</v>
      </c>
      <c r="AM25" s="688"/>
      <c r="AN25" s="555"/>
      <c r="AO25" s="688"/>
      <c r="AP25" s="688"/>
      <c r="AQ25" s="688"/>
      <c r="AR25" s="688"/>
      <c r="AS25" s="688"/>
      <c r="AT25" s="688"/>
      <c r="AU25" s="688"/>
      <c r="AV25" s="688"/>
      <c r="AW25" s="688"/>
      <c r="AX25" s="688"/>
      <c r="AY25" s="688"/>
      <c r="AZ25" s="688"/>
      <c r="BA25" s="688"/>
    </row>
    <row r="26" spans="1:53" s="538" customFormat="1" ht="19" thickBot="1" x14ac:dyDescent="0.5">
      <c r="A26" s="689" t="s">
        <v>185</v>
      </c>
      <c r="B26" s="474">
        <f>'2016-2017'!AH22</f>
        <v>4521911.370000001</v>
      </c>
      <c r="C26" s="475">
        <v>60392.61</v>
      </c>
      <c r="D26" s="474"/>
      <c r="E26" s="474">
        <v>715925.32000000007</v>
      </c>
      <c r="F26" s="474">
        <f>3730931.31+242276.42</f>
        <v>3973207.73</v>
      </c>
      <c r="G26" s="477">
        <v>595689.14</v>
      </c>
      <c r="H26" s="474">
        <v>715925.32</v>
      </c>
      <c r="I26" s="474">
        <v>561895.46</v>
      </c>
      <c r="J26" s="474"/>
      <c r="K26" s="474">
        <v>559817.53</v>
      </c>
      <c r="L26" s="474">
        <f>1157584.6</f>
        <v>1157584.6000000001</v>
      </c>
      <c r="M26" s="474">
        <v>550561.23</v>
      </c>
      <c r="N26" s="474">
        <f>559817.53+550561.23</f>
        <v>1110378.76</v>
      </c>
      <c r="O26" s="476">
        <v>750283.97</v>
      </c>
      <c r="P26" s="477"/>
      <c r="Q26" s="477">
        <v>981071.47</v>
      </c>
      <c r="R26" s="477"/>
      <c r="S26" s="477">
        <v>1217687.8699999999</v>
      </c>
      <c r="T26" s="477"/>
      <c r="U26" s="477">
        <v>400268.63000000012</v>
      </c>
      <c r="V26" s="477"/>
      <c r="W26" s="477">
        <v>1599245.3</v>
      </c>
      <c r="X26" s="477">
        <v>1385209.0499999998</v>
      </c>
      <c r="Y26" s="477">
        <v>781365.02</v>
      </c>
      <c r="Z26" s="477"/>
      <c r="AA26" s="477"/>
      <c r="AB26" s="477">
        <v>888957.1100000001</v>
      </c>
      <c r="AC26" s="537"/>
      <c r="AD26" s="537"/>
      <c r="AE26" s="476">
        <f t="shared" si="2"/>
        <v>5721981.3500000006</v>
      </c>
      <c r="AF26" s="558"/>
      <c r="AG26" s="476">
        <v>4521911.370000001</v>
      </c>
      <c r="AH26" s="475">
        <v>60392.61</v>
      </c>
      <c r="AI26" s="476">
        <f t="shared" si="0"/>
        <v>9602768.0499999989</v>
      </c>
      <c r="AJ26" s="537">
        <f t="shared" si="1"/>
        <v>8342305.46</v>
      </c>
      <c r="AK26" s="476">
        <f t="shared" si="3"/>
        <v>5721981.3499999987</v>
      </c>
      <c r="AL26" s="479" t="s">
        <v>457</v>
      </c>
      <c r="AM26" s="688"/>
      <c r="AN26" s="555"/>
      <c r="AO26" s="688"/>
      <c r="AP26" s="688"/>
      <c r="AQ26" s="688"/>
      <c r="AR26" s="688"/>
      <c r="AS26" s="688"/>
      <c r="AT26" s="688"/>
      <c r="AU26" s="688"/>
      <c r="AV26" s="688"/>
      <c r="AW26" s="688"/>
      <c r="AX26" s="688"/>
      <c r="AY26" s="688"/>
      <c r="AZ26" s="688"/>
      <c r="BA26" s="688"/>
    </row>
    <row r="27" spans="1:53" s="538" customFormat="1" ht="19" thickBot="1" x14ac:dyDescent="0.5">
      <c r="A27" s="689" t="s">
        <v>89</v>
      </c>
      <c r="B27" s="474">
        <f>'2016-2017'!AH23</f>
        <v>-4655.5600000000559</v>
      </c>
      <c r="C27" s="475"/>
      <c r="D27" s="474"/>
      <c r="E27" s="474">
        <v>0</v>
      </c>
      <c r="F27" s="474"/>
      <c r="G27" s="477"/>
      <c r="H27" s="474"/>
      <c r="I27" s="474">
        <v>0</v>
      </c>
      <c r="J27" s="474"/>
      <c r="K27" s="474"/>
      <c r="L27" s="474"/>
      <c r="M27" s="474"/>
      <c r="N27" s="474"/>
      <c r="O27" s="476"/>
      <c r="P27" s="477"/>
      <c r="Q27" s="477"/>
      <c r="R27" s="477"/>
      <c r="S27" s="477"/>
      <c r="T27" s="477"/>
      <c r="U27" s="477"/>
      <c r="V27" s="477"/>
      <c r="W27" s="477">
        <v>0</v>
      </c>
      <c r="X27" s="477"/>
      <c r="Y27" s="477"/>
      <c r="Z27" s="477"/>
      <c r="AA27" s="477"/>
      <c r="AB27" s="477">
        <v>0</v>
      </c>
      <c r="AC27" s="537"/>
      <c r="AD27" s="537"/>
      <c r="AE27" s="476">
        <f t="shared" si="2"/>
        <v>-4655.5600000000559</v>
      </c>
      <c r="AF27" s="558"/>
      <c r="AG27" s="476">
        <v>-4655.5600000000559</v>
      </c>
      <c r="AH27" s="475"/>
      <c r="AI27" s="476">
        <f t="shared" si="0"/>
        <v>0</v>
      </c>
      <c r="AJ27" s="537">
        <f t="shared" si="1"/>
        <v>0</v>
      </c>
      <c r="AK27" s="476">
        <f t="shared" si="3"/>
        <v>-4655.5600000000559</v>
      </c>
      <c r="AL27" s="479" t="s">
        <v>458</v>
      </c>
      <c r="AM27" s="688"/>
      <c r="AN27" s="555"/>
      <c r="AO27" s="688"/>
      <c r="AP27" s="688"/>
      <c r="AQ27" s="688"/>
      <c r="AR27" s="688"/>
      <c r="AS27" s="688"/>
      <c r="AT27" s="688"/>
      <c r="AU27" s="688"/>
      <c r="AV27" s="688"/>
      <c r="AW27" s="688"/>
      <c r="AX27" s="688"/>
      <c r="AY27" s="688"/>
      <c r="AZ27" s="688"/>
      <c r="BA27" s="688"/>
    </row>
    <row r="28" spans="1:53" s="538" customFormat="1" ht="19" thickBot="1" x14ac:dyDescent="0.5">
      <c r="A28" s="689" t="s">
        <v>308</v>
      </c>
      <c r="B28" s="474">
        <f>'2016-2017'!AH24</f>
        <v>897831.38000000082</v>
      </c>
      <c r="C28" s="475"/>
      <c r="D28" s="474"/>
      <c r="E28" s="474">
        <v>674882.94</v>
      </c>
      <c r="F28" s="474"/>
      <c r="G28" s="477">
        <v>720772.08</v>
      </c>
      <c r="H28" s="474">
        <v>0</v>
      </c>
      <c r="I28" s="474">
        <v>705292.67</v>
      </c>
      <c r="J28" s="474"/>
      <c r="K28" s="474">
        <v>720949.28</v>
      </c>
      <c r="L28" s="474">
        <v>2826356.21</v>
      </c>
      <c r="M28" s="474">
        <v>753294.85</v>
      </c>
      <c r="N28" s="474"/>
      <c r="O28" s="476">
        <v>549886</v>
      </c>
      <c r="P28" s="477">
        <v>1474244.13</v>
      </c>
      <c r="Q28" s="477">
        <v>974079</v>
      </c>
      <c r="R28" s="477"/>
      <c r="S28" s="477">
        <v>981657.97</v>
      </c>
      <c r="T28" s="477">
        <v>1523965</v>
      </c>
      <c r="U28" s="477">
        <v>520495.44000000006</v>
      </c>
      <c r="V28" s="477"/>
      <c r="W28" s="477">
        <v>710985.57000000007</v>
      </c>
      <c r="X28" s="477">
        <v>574776.09</v>
      </c>
      <c r="Y28" s="477">
        <v>855530.55</v>
      </c>
      <c r="Z28" s="530">
        <f>710985.57+927377.32</f>
        <v>1638362.89</v>
      </c>
      <c r="AA28" s="477"/>
      <c r="AB28" s="477">
        <v>730316.94</v>
      </c>
      <c r="AC28" s="537"/>
      <c r="AD28" s="537"/>
      <c r="AE28" s="476">
        <f t="shared" si="2"/>
        <v>1758270.3500000008</v>
      </c>
      <c r="AF28" s="558"/>
      <c r="AG28" s="476">
        <v>897831.38000000082</v>
      </c>
      <c r="AH28" s="475"/>
      <c r="AI28" s="476">
        <f t="shared" si="0"/>
        <v>8898143.290000001</v>
      </c>
      <c r="AJ28" s="537">
        <f t="shared" si="1"/>
        <v>8037704.3199999994</v>
      </c>
      <c r="AK28" s="476">
        <f t="shared" si="3"/>
        <v>1758270.3500000024</v>
      </c>
      <c r="AL28" s="479" t="s">
        <v>457</v>
      </c>
      <c r="AM28" s="688"/>
      <c r="AN28" s="555"/>
      <c r="AO28" s="688"/>
      <c r="AP28" s="688"/>
      <c r="AQ28" s="688"/>
      <c r="AR28" s="688"/>
      <c r="AS28" s="688"/>
      <c r="AT28" s="688"/>
      <c r="AU28" s="688"/>
      <c r="AV28" s="688"/>
      <c r="AW28" s="688"/>
      <c r="AX28" s="688"/>
      <c r="AY28" s="688"/>
      <c r="AZ28" s="688"/>
      <c r="BA28" s="688"/>
    </row>
    <row r="29" spans="1:53" s="538" customFormat="1" ht="19" thickBot="1" x14ac:dyDescent="0.5">
      <c r="A29" s="689" t="s">
        <v>196</v>
      </c>
      <c r="B29" s="474">
        <f>'2016-2017'!AH25</f>
        <v>2268771.2400000002</v>
      </c>
      <c r="C29" s="475">
        <v>2408191.2399999998</v>
      </c>
      <c r="D29" s="474"/>
      <c r="E29" s="474">
        <v>12113.15</v>
      </c>
      <c r="F29" s="474"/>
      <c r="G29" s="542">
        <v>13320.25</v>
      </c>
      <c r="H29" s="474"/>
      <c r="I29" s="474">
        <v>11467.65</v>
      </c>
      <c r="J29" s="474"/>
      <c r="K29" s="477">
        <v>11309.05</v>
      </c>
      <c r="L29" s="474"/>
      <c r="M29" s="477">
        <v>13924.5</v>
      </c>
      <c r="N29" s="474"/>
      <c r="O29" s="476"/>
      <c r="P29" s="477"/>
      <c r="Q29" s="477">
        <v>30263.8</v>
      </c>
      <c r="R29" s="477"/>
      <c r="S29" s="477">
        <v>18447.5</v>
      </c>
      <c r="T29" s="477"/>
      <c r="U29" s="477">
        <v>8223.1</v>
      </c>
      <c r="V29" s="477"/>
      <c r="W29" s="477">
        <v>10616</v>
      </c>
      <c r="X29" s="477"/>
      <c r="Y29" s="477">
        <v>9735</v>
      </c>
      <c r="Z29" s="477"/>
      <c r="AA29" s="477"/>
      <c r="AB29" s="477">
        <v>0</v>
      </c>
      <c r="AC29" s="537"/>
      <c r="AD29" s="537"/>
      <c r="AE29" s="476">
        <f t="shared" si="2"/>
        <v>4.5838532969355583E-10</v>
      </c>
      <c r="AF29" s="558"/>
      <c r="AG29" s="476">
        <v>2268771.2400000002</v>
      </c>
      <c r="AH29" s="475">
        <v>2408191.2399999998</v>
      </c>
      <c r="AI29" s="476">
        <f t="shared" si="0"/>
        <v>139420</v>
      </c>
      <c r="AJ29" s="537">
        <f t="shared" si="1"/>
        <v>0</v>
      </c>
      <c r="AK29" s="476">
        <f t="shared" si="3"/>
        <v>4.6566128730773926E-10</v>
      </c>
      <c r="AL29" s="479" t="s">
        <v>458</v>
      </c>
      <c r="AM29" s="688"/>
      <c r="AN29" s="555"/>
      <c r="AO29" s="688"/>
      <c r="AP29" s="688"/>
      <c r="AQ29" s="688"/>
      <c r="AR29" s="688"/>
      <c r="AS29" s="688"/>
      <c r="AT29" s="688"/>
      <c r="AU29" s="688"/>
      <c r="AV29" s="688"/>
      <c r="AW29" s="688"/>
      <c r="AX29" s="688"/>
      <c r="AY29" s="688"/>
      <c r="AZ29" s="688"/>
      <c r="BA29" s="688"/>
    </row>
    <row r="30" spans="1:53" s="538" customFormat="1" ht="19" thickBot="1" x14ac:dyDescent="0.5">
      <c r="A30" s="689" t="s">
        <v>85</v>
      </c>
      <c r="B30" s="474">
        <f>'2016-2017'!AH26</f>
        <v>24952.239999999758</v>
      </c>
      <c r="C30" s="475">
        <v>119035.23999999999</v>
      </c>
      <c r="D30" s="474"/>
      <c r="E30" s="474">
        <v>8553</v>
      </c>
      <c r="F30" s="474"/>
      <c r="G30" s="477">
        <v>8553</v>
      </c>
      <c r="H30" s="474"/>
      <c r="I30" s="474">
        <v>8553</v>
      </c>
      <c r="J30" s="474"/>
      <c r="K30" s="477">
        <v>8553</v>
      </c>
      <c r="L30" s="474"/>
      <c r="M30" s="474">
        <v>8553</v>
      </c>
      <c r="N30" s="474"/>
      <c r="O30" s="476">
        <v>8553</v>
      </c>
      <c r="P30" s="477"/>
      <c r="Q30" s="477">
        <v>8553</v>
      </c>
      <c r="R30" s="477"/>
      <c r="S30" s="477">
        <v>8553</v>
      </c>
      <c r="T30" s="477"/>
      <c r="U30" s="477">
        <v>8553</v>
      </c>
      <c r="V30" s="477"/>
      <c r="W30" s="477">
        <v>8553</v>
      </c>
      <c r="X30" s="477"/>
      <c r="Y30" s="477">
        <v>8553</v>
      </c>
      <c r="Z30" s="477"/>
      <c r="AA30" s="477"/>
      <c r="AB30" s="477">
        <v>8553</v>
      </c>
      <c r="AC30" s="537"/>
      <c r="AD30" s="537"/>
      <c r="AE30" s="476">
        <f t="shared" si="2"/>
        <v>8552.9999999997672</v>
      </c>
      <c r="AF30" s="558"/>
      <c r="AG30" s="476">
        <v>24952.239999999758</v>
      </c>
      <c r="AH30" s="475">
        <v>119035.23999999999</v>
      </c>
      <c r="AI30" s="476">
        <f t="shared" si="0"/>
        <v>102636</v>
      </c>
      <c r="AJ30" s="537">
        <f t="shared" si="1"/>
        <v>0</v>
      </c>
      <c r="AK30" s="476">
        <f t="shared" si="3"/>
        <v>8552.9999999997672</v>
      </c>
      <c r="AL30" s="479" t="s">
        <v>458</v>
      </c>
      <c r="AM30" s="688"/>
      <c r="AN30" s="555"/>
      <c r="AO30" s="688"/>
      <c r="AP30" s="688"/>
      <c r="AQ30" s="688"/>
      <c r="AR30" s="688"/>
      <c r="AS30" s="688"/>
      <c r="AT30" s="688"/>
      <c r="AU30" s="688"/>
      <c r="AV30" s="688"/>
      <c r="AW30" s="688"/>
      <c r="AX30" s="688"/>
      <c r="AY30" s="688"/>
      <c r="AZ30" s="688"/>
      <c r="BA30" s="688"/>
    </row>
    <row r="31" spans="1:53" s="538" customFormat="1" ht="19" thickBot="1" x14ac:dyDescent="0.5">
      <c r="A31" s="689" t="s">
        <v>37</v>
      </c>
      <c r="B31" s="474">
        <f>'2016-2017'!AH27</f>
        <v>2383184.929999996</v>
      </c>
      <c r="C31" s="475"/>
      <c r="D31" s="474"/>
      <c r="E31" s="474">
        <v>532086.37</v>
      </c>
      <c r="F31" s="474">
        <v>723293.73</v>
      </c>
      <c r="G31" s="477">
        <v>564847.4</v>
      </c>
      <c r="H31" s="474">
        <v>269510.03999999998</v>
      </c>
      <c r="I31" s="474">
        <v>547790.56999999995</v>
      </c>
      <c r="J31" s="474"/>
      <c r="K31" s="474">
        <v>674995.16</v>
      </c>
      <c r="L31" s="474"/>
      <c r="M31" s="474">
        <v>634729.41999999993</v>
      </c>
      <c r="N31" s="474"/>
      <c r="O31" s="476">
        <v>410661.69</v>
      </c>
      <c r="P31" s="477">
        <f>547790.57+1195276.12</f>
        <v>1743066.69</v>
      </c>
      <c r="Q31" s="477">
        <v>800962.21</v>
      </c>
      <c r="R31" s="477">
        <v>1239842.56</v>
      </c>
      <c r="S31" s="477">
        <v>682296.05999999994</v>
      </c>
      <c r="T31" s="477"/>
      <c r="U31" s="477">
        <v>457976.97</v>
      </c>
      <c r="V31" s="477">
        <f>410661.69+618860.46</f>
        <v>1029522.1499999999</v>
      </c>
      <c r="W31" s="477">
        <v>425433.79000000004</v>
      </c>
      <c r="X31" s="477">
        <v>1263458.8899999999</v>
      </c>
      <c r="Y31" s="477">
        <v>557920.93000000005</v>
      </c>
      <c r="Z31" s="477">
        <f>457976.97+983354.72</f>
        <v>1441331.69</v>
      </c>
      <c r="AA31" s="477"/>
      <c r="AB31" s="477">
        <v>138133.58999999997</v>
      </c>
      <c r="AC31" s="537"/>
      <c r="AD31" s="537"/>
      <c r="AE31" s="476">
        <f t="shared" si="2"/>
        <v>1100993.3399999971</v>
      </c>
      <c r="AF31" s="558"/>
      <c r="AG31" s="476">
        <v>2383184.929999996</v>
      </c>
      <c r="AH31" s="475"/>
      <c r="AI31" s="476">
        <f t="shared" si="0"/>
        <v>6427834.1599999992</v>
      </c>
      <c r="AJ31" s="537">
        <f t="shared" si="1"/>
        <v>7710025.75</v>
      </c>
      <c r="AK31" s="476">
        <f t="shared" si="3"/>
        <v>1100993.3399999961</v>
      </c>
      <c r="AL31" s="479" t="s">
        <v>458</v>
      </c>
      <c r="AM31" s="458"/>
      <c r="AN31" s="555"/>
      <c r="AO31" s="688"/>
      <c r="AP31" s="688"/>
      <c r="AQ31" s="688"/>
      <c r="AR31" s="688"/>
      <c r="AS31" s="688"/>
      <c r="AT31" s="688"/>
      <c r="AU31" s="688"/>
      <c r="AV31" s="688"/>
      <c r="AW31" s="688"/>
      <c r="AX31" s="688"/>
      <c r="AY31" s="688"/>
      <c r="AZ31" s="688"/>
      <c r="BA31" s="688"/>
    </row>
    <row r="32" spans="1:53" s="538" customFormat="1" ht="19" thickBot="1" x14ac:dyDescent="0.5">
      <c r="A32" s="689" t="s">
        <v>28</v>
      </c>
      <c r="B32" s="474">
        <f>'2016-2017'!AH28</f>
        <v>4157821.620000001</v>
      </c>
      <c r="C32" s="475">
        <v>3647793.81</v>
      </c>
      <c r="D32" s="474"/>
      <c r="E32" s="474">
        <v>143456.51</v>
      </c>
      <c r="F32" s="474">
        <f>212913.42</f>
        <v>212913.42</v>
      </c>
      <c r="G32" s="477">
        <v>150328.47</v>
      </c>
      <c r="H32" s="474">
        <v>62551.44</v>
      </c>
      <c r="I32" s="474">
        <v>155036.84</v>
      </c>
      <c r="J32" s="474">
        <v>286773.98</v>
      </c>
      <c r="K32" s="474">
        <v>139023.53</v>
      </c>
      <c r="L32" s="474"/>
      <c r="M32" s="474">
        <v>144294.13</v>
      </c>
      <c r="N32" s="474"/>
      <c r="O32" s="476">
        <v>76812.510000000009</v>
      </c>
      <c r="P32" s="477">
        <v>421528.12</v>
      </c>
      <c r="Q32" s="477">
        <v>182773.96000000002</v>
      </c>
      <c r="R32" s="477">
        <v>125774.95</v>
      </c>
      <c r="S32" s="477">
        <v>161437.56</v>
      </c>
      <c r="T32" s="477">
        <f>183727.47+67278.39</f>
        <v>251005.86</v>
      </c>
      <c r="U32" s="477">
        <v>91976.87</v>
      </c>
      <c r="V32" s="477"/>
      <c r="W32" s="477">
        <v>345237.73000000004</v>
      </c>
      <c r="X32" s="477">
        <v>195212.34</v>
      </c>
      <c r="Y32" s="477">
        <v>214832.51</v>
      </c>
      <c r="Z32" s="477">
        <f>330449.82</f>
        <v>330449.82</v>
      </c>
      <c r="AA32" s="477"/>
      <c r="AB32" s="477">
        <v>183448.82</v>
      </c>
      <c r="AC32" s="537"/>
      <c r="AD32" s="537"/>
      <c r="AE32" s="476">
        <f t="shared" si="2"/>
        <v>612477.32000000088</v>
      </c>
      <c r="AF32" s="558"/>
      <c r="AG32" s="476">
        <v>4157821.620000001</v>
      </c>
      <c r="AH32" s="475">
        <v>3647793.81</v>
      </c>
      <c r="AI32" s="476">
        <f t="shared" si="0"/>
        <v>1988659.44</v>
      </c>
      <c r="AJ32" s="537">
        <f t="shared" si="1"/>
        <v>1886209.9300000002</v>
      </c>
      <c r="AK32" s="476">
        <f t="shared" si="3"/>
        <v>612477.32000000076</v>
      </c>
      <c r="AL32" s="479" t="s">
        <v>457</v>
      </c>
      <c r="AM32" s="458"/>
      <c r="AN32" s="555"/>
      <c r="AO32" s="688"/>
      <c r="AP32" s="688"/>
      <c r="AQ32" s="688"/>
      <c r="AR32" s="688"/>
      <c r="AS32" s="688"/>
      <c r="AT32" s="688"/>
      <c r="AU32" s="688"/>
      <c r="AV32" s="688"/>
      <c r="AW32" s="688"/>
      <c r="AX32" s="688"/>
      <c r="AY32" s="688"/>
      <c r="AZ32" s="688"/>
      <c r="BA32" s="688"/>
    </row>
    <row r="33" spans="1:53" s="538" customFormat="1" ht="19" thickBot="1" x14ac:dyDescent="0.5">
      <c r="A33" s="689" t="s">
        <v>91</v>
      </c>
      <c r="B33" s="474">
        <f>'2016-2017'!AH29</f>
        <v>-501.40999999968335</v>
      </c>
      <c r="C33" s="475"/>
      <c r="D33" s="474"/>
      <c r="E33" s="474">
        <v>0</v>
      </c>
      <c r="F33" s="474"/>
      <c r="G33" s="477"/>
      <c r="H33" s="474"/>
      <c r="I33" s="474">
        <v>0</v>
      </c>
      <c r="J33" s="474"/>
      <c r="K33" s="474"/>
      <c r="L33" s="474"/>
      <c r="M33" s="474"/>
      <c r="N33" s="474"/>
      <c r="O33" s="476"/>
      <c r="P33" s="477"/>
      <c r="Q33" s="477"/>
      <c r="R33" s="477"/>
      <c r="S33" s="477"/>
      <c r="T33" s="477"/>
      <c r="U33" s="477"/>
      <c r="V33" s="477"/>
      <c r="W33" s="477">
        <v>0</v>
      </c>
      <c r="X33" s="477"/>
      <c r="Y33" s="477"/>
      <c r="Z33" s="477"/>
      <c r="AA33" s="477"/>
      <c r="AB33" s="477">
        <v>0</v>
      </c>
      <c r="AC33" s="537"/>
      <c r="AD33" s="537"/>
      <c r="AE33" s="476">
        <f t="shared" si="2"/>
        <v>-501.40999999968335</v>
      </c>
      <c r="AF33" s="558"/>
      <c r="AG33" s="476">
        <v>-501.40999999968335</v>
      </c>
      <c r="AH33" s="475"/>
      <c r="AI33" s="476">
        <f t="shared" si="0"/>
        <v>0</v>
      </c>
      <c r="AJ33" s="537">
        <f t="shared" si="1"/>
        <v>0</v>
      </c>
      <c r="AK33" s="476">
        <f t="shared" si="3"/>
        <v>-501.40999999968335</v>
      </c>
      <c r="AL33" s="479" t="s">
        <v>458</v>
      </c>
      <c r="AM33" s="688"/>
      <c r="AN33" s="555"/>
      <c r="AO33" s="688"/>
      <c r="AP33" s="688"/>
      <c r="AQ33" s="688"/>
      <c r="AR33" s="688"/>
      <c r="AS33" s="688"/>
      <c r="AT33" s="688"/>
      <c r="AU33" s="688"/>
      <c r="AV33" s="688"/>
      <c r="AW33" s="688"/>
      <c r="AX33" s="688"/>
      <c r="AY33" s="688"/>
      <c r="AZ33" s="688"/>
      <c r="BA33" s="688"/>
    </row>
    <row r="34" spans="1:53" s="538" customFormat="1" ht="19" thickBot="1" x14ac:dyDescent="0.5">
      <c r="A34" s="689" t="s">
        <v>57</v>
      </c>
      <c r="B34" s="474">
        <f>'2016-2017'!AH30</f>
        <v>1506402.6099999975</v>
      </c>
      <c r="C34" s="475">
        <v>539526.39</v>
      </c>
      <c r="D34" s="474"/>
      <c r="E34" s="546">
        <v>916005.78</v>
      </c>
      <c r="F34" s="474">
        <v>966876.22</v>
      </c>
      <c r="G34" s="477">
        <v>940520.34</v>
      </c>
      <c r="H34" s="474">
        <f>916005.78</f>
        <v>916005.78</v>
      </c>
      <c r="I34" s="474">
        <v>860909.31</v>
      </c>
      <c r="J34" s="474"/>
      <c r="K34" s="477">
        <v>866619.62000000011</v>
      </c>
      <c r="L34" s="474">
        <f>1801429.65+866619.62</f>
        <v>2668049.27</v>
      </c>
      <c r="M34" s="474">
        <v>868279.8600000001</v>
      </c>
      <c r="N34" s="474"/>
      <c r="O34" s="476">
        <v>645903.94999999995</v>
      </c>
      <c r="P34" s="477">
        <v>868279.86</v>
      </c>
      <c r="Q34" s="477">
        <v>1123675.06</v>
      </c>
      <c r="R34" s="477"/>
      <c r="S34" s="477">
        <v>1026153.0700000001</v>
      </c>
      <c r="T34" s="477">
        <v>1769579.01</v>
      </c>
      <c r="U34" s="477">
        <v>520458.08999999997</v>
      </c>
      <c r="V34" s="477"/>
      <c r="W34" s="477">
        <v>828447.66999999993</v>
      </c>
      <c r="X34" s="477"/>
      <c r="Y34" s="477">
        <v>1057876.9100000001</v>
      </c>
      <c r="Z34" s="530">
        <f>1854600.74+520458.09+1457557.76</f>
        <v>3832616.59</v>
      </c>
      <c r="AA34" s="477"/>
      <c r="AB34" s="477">
        <v>1228075.5899999999</v>
      </c>
      <c r="AC34" s="537"/>
      <c r="AD34" s="537"/>
      <c r="AE34" s="476">
        <f t="shared" si="2"/>
        <v>828394.73999999836</v>
      </c>
      <c r="AF34" s="558"/>
      <c r="AG34" s="476">
        <v>1506402.6099999975</v>
      </c>
      <c r="AH34" s="475">
        <v>539526.39</v>
      </c>
      <c r="AI34" s="476">
        <f t="shared" si="0"/>
        <v>10882925.25</v>
      </c>
      <c r="AJ34" s="537">
        <f t="shared" si="1"/>
        <v>11021406.73</v>
      </c>
      <c r="AK34" s="476">
        <f t="shared" si="3"/>
        <v>828394.7399999965</v>
      </c>
      <c r="AL34" s="479" t="s">
        <v>457</v>
      </c>
      <c r="AM34" s="458"/>
      <c r="AN34" s="555"/>
      <c r="AO34" s="688"/>
      <c r="AP34" s="688"/>
      <c r="AQ34" s="688"/>
      <c r="AR34" s="688"/>
      <c r="AS34" s="688"/>
      <c r="AT34" s="688"/>
      <c r="AU34" s="688"/>
      <c r="AV34" s="688"/>
      <c r="AW34" s="688"/>
      <c r="AX34" s="688"/>
      <c r="AY34" s="688"/>
      <c r="AZ34" s="688"/>
      <c r="BA34" s="688"/>
    </row>
    <row r="35" spans="1:53" s="538" customFormat="1" ht="19" thickBot="1" x14ac:dyDescent="0.5">
      <c r="A35" s="689" t="s">
        <v>53</v>
      </c>
      <c r="B35" s="474">
        <f>'2016-2017'!AH31</f>
        <v>4710.1099999989383</v>
      </c>
      <c r="C35" s="475">
        <v>4710.1099999999997</v>
      </c>
      <c r="D35" s="474"/>
      <c r="E35" s="474">
        <v>0</v>
      </c>
      <c r="F35" s="474"/>
      <c r="G35" s="477"/>
      <c r="H35" s="474"/>
      <c r="I35" s="474">
        <v>0</v>
      </c>
      <c r="J35" s="474"/>
      <c r="K35" s="474"/>
      <c r="L35" s="474"/>
      <c r="M35" s="474"/>
      <c r="N35" s="474"/>
      <c r="O35" s="476"/>
      <c r="P35" s="477"/>
      <c r="Q35" s="477"/>
      <c r="R35" s="477"/>
      <c r="S35" s="477"/>
      <c r="T35" s="477"/>
      <c r="U35" s="477"/>
      <c r="V35" s="477"/>
      <c r="W35" s="477">
        <v>0</v>
      </c>
      <c r="X35" s="477"/>
      <c r="Y35" s="477"/>
      <c r="Z35" s="477"/>
      <c r="AA35" s="477"/>
      <c r="AB35" s="477">
        <v>0</v>
      </c>
      <c r="AC35" s="537"/>
      <c r="AD35" s="537"/>
      <c r="AE35" s="476">
        <f t="shared" si="2"/>
        <v>-1.0613803169690073E-9</v>
      </c>
      <c r="AF35" s="558"/>
      <c r="AG35" s="476">
        <v>4710.1099999989383</v>
      </c>
      <c r="AH35" s="475">
        <v>4710.1099999999997</v>
      </c>
      <c r="AI35" s="476">
        <f t="shared" si="0"/>
        <v>0</v>
      </c>
      <c r="AJ35" s="537">
        <f t="shared" si="1"/>
        <v>0</v>
      </c>
      <c r="AK35" s="476">
        <f t="shared" si="3"/>
        <v>-1.0613803169690073E-9</v>
      </c>
      <c r="AL35" s="479" t="s">
        <v>458</v>
      </c>
      <c r="AM35" s="688"/>
      <c r="AN35" s="555"/>
      <c r="AO35" s="688"/>
      <c r="AP35" s="688"/>
      <c r="AQ35" s="688"/>
      <c r="AR35" s="688"/>
      <c r="AS35" s="688"/>
      <c r="AT35" s="688"/>
      <c r="AU35" s="688"/>
      <c r="AV35" s="688"/>
      <c r="AW35" s="688"/>
      <c r="AX35" s="688"/>
      <c r="AY35" s="688"/>
      <c r="AZ35" s="688"/>
      <c r="BA35" s="688"/>
    </row>
    <row r="36" spans="1:53" s="538" customFormat="1" ht="19" thickBot="1" x14ac:dyDescent="0.5">
      <c r="A36" s="689" t="s">
        <v>65</v>
      </c>
      <c r="B36" s="474">
        <f>'2016-2017'!AH32</f>
        <v>916084.98000000021</v>
      </c>
      <c r="C36" s="475">
        <v>975091.28</v>
      </c>
      <c r="D36" s="474"/>
      <c r="E36" s="474">
        <v>85105.82</v>
      </c>
      <c r="F36" s="474">
        <v>90601.25</v>
      </c>
      <c r="G36" s="477">
        <v>85275.5</v>
      </c>
      <c r="H36" s="474"/>
      <c r="I36" s="474">
        <v>90496.3</v>
      </c>
      <c r="J36" s="474">
        <f>175771.8</f>
        <v>175771.8</v>
      </c>
      <c r="K36" s="474">
        <v>84283.23</v>
      </c>
      <c r="L36" s="474">
        <f>84283.23</f>
        <v>84283.23</v>
      </c>
      <c r="M36" s="474">
        <v>94186.65</v>
      </c>
      <c r="N36" s="474"/>
      <c r="O36" s="476">
        <v>78280.72</v>
      </c>
      <c r="P36" s="477">
        <f>94186.65</f>
        <v>94186.65</v>
      </c>
      <c r="Q36" s="477">
        <v>92477.84</v>
      </c>
      <c r="R36" s="477"/>
      <c r="S36" s="477">
        <v>85080</v>
      </c>
      <c r="T36" s="477">
        <v>85080</v>
      </c>
      <c r="U36" s="477">
        <v>71622.28</v>
      </c>
      <c r="V36" s="477"/>
      <c r="W36" s="477">
        <v>86650.01</v>
      </c>
      <c r="X36" s="477">
        <v>164070.12</v>
      </c>
      <c r="Y36" s="477">
        <v>78276.849999999627</v>
      </c>
      <c r="Z36" s="530"/>
      <c r="AA36" s="477"/>
      <c r="AB36" s="477">
        <v>79700.990000000005</v>
      </c>
      <c r="AC36" s="537"/>
      <c r="AD36" s="537"/>
      <c r="AE36" s="476">
        <f t="shared" si="2"/>
        <v>258436.83999999979</v>
      </c>
      <c r="AF36" s="558"/>
      <c r="AG36" s="476">
        <v>916084.98000000021</v>
      </c>
      <c r="AH36" s="475">
        <v>975091.28</v>
      </c>
      <c r="AI36" s="476">
        <f t="shared" si="0"/>
        <v>1011436.1899999996</v>
      </c>
      <c r="AJ36" s="537">
        <f t="shared" si="1"/>
        <v>693993.04999999993</v>
      </c>
      <c r="AK36" s="476">
        <f t="shared" si="3"/>
        <v>258436.83999999985</v>
      </c>
      <c r="AL36" s="479" t="s">
        <v>457</v>
      </c>
      <c r="AM36" s="688"/>
      <c r="AN36" s="555"/>
      <c r="AO36" s="688"/>
      <c r="AP36" s="688"/>
      <c r="AQ36" s="688"/>
      <c r="AR36" s="688"/>
      <c r="AS36" s="688"/>
      <c r="AT36" s="688"/>
      <c r="AU36" s="688"/>
      <c r="AV36" s="688"/>
      <c r="AW36" s="688"/>
      <c r="AX36" s="688"/>
      <c r="AY36" s="688"/>
      <c r="AZ36" s="688"/>
      <c r="BA36" s="688"/>
    </row>
    <row r="37" spans="1:53" s="538" customFormat="1" ht="19" thickBot="1" x14ac:dyDescent="0.5">
      <c r="A37" s="689" t="s">
        <v>335</v>
      </c>
      <c r="B37" s="474">
        <f>'2016-2017'!AH33</f>
        <v>884193.61000000313</v>
      </c>
      <c r="C37" s="475">
        <v>356047.93</v>
      </c>
      <c r="D37" s="474"/>
      <c r="E37" s="474">
        <v>1191560.8500000001</v>
      </c>
      <c r="F37" s="474">
        <v>1719706.5300000003</v>
      </c>
      <c r="G37" s="477">
        <v>1249299.02</v>
      </c>
      <c r="H37" s="474"/>
      <c r="I37" s="474">
        <v>1193432.3700000001</v>
      </c>
      <c r="J37" s="474">
        <f>1249299.02+1193432.37</f>
        <v>2442731.39</v>
      </c>
      <c r="K37" s="474">
        <v>1235631.28</v>
      </c>
      <c r="L37" s="474">
        <v>1235631.28</v>
      </c>
      <c r="M37" s="477">
        <v>1141743.44</v>
      </c>
      <c r="N37" s="474"/>
      <c r="O37" s="476">
        <v>1716935.39</v>
      </c>
      <c r="P37" s="477">
        <v>1141743.44</v>
      </c>
      <c r="Q37" s="477">
        <v>2043104.24</v>
      </c>
      <c r="R37" s="477"/>
      <c r="S37" s="477">
        <v>1261623.2100000004</v>
      </c>
      <c r="T37" s="477">
        <v>1716935.39</v>
      </c>
      <c r="U37" s="477">
        <v>1199702.7499999998</v>
      </c>
      <c r="V37" s="477">
        <f>2043104.24</f>
        <v>2043104.24</v>
      </c>
      <c r="W37" s="477">
        <v>1583716.58</v>
      </c>
      <c r="X37" s="477">
        <f>2511325.96-50000</f>
        <v>2461325.96</v>
      </c>
      <c r="Y37" s="477">
        <v>1558171.4800000002</v>
      </c>
      <c r="Z37" s="477">
        <f>1583716.58+1558171.48</f>
        <v>3141888.06</v>
      </c>
      <c r="AA37" s="477"/>
      <c r="AB37" s="477">
        <v>3066566.25</v>
      </c>
      <c r="AC37" s="537"/>
      <c r="AD37" s="537"/>
      <c r="AE37" s="476">
        <f t="shared" si="2"/>
        <v>3066566.2500000042</v>
      </c>
      <c r="AF37" s="558"/>
      <c r="AG37" s="476">
        <v>884193.61000000313</v>
      </c>
      <c r="AH37" s="475">
        <v>356047.93</v>
      </c>
      <c r="AI37" s="476">
        <f t="shared" si="0"/>
        <v>18441486.859999999</v>
      </c>
      <c r="AJ37" s="537">
        <f t="shared" si="1"/>
        <v>15903066.290000001</v>
      </c>
      <c r="AK37" s="476">
        <f t="shared" si="3"/>
        <v>3066566.2500000019</v>
      </c>
      <c r="AL37" s="479" t="s">
        <v>457</v>
      </c>
      <c r="AM37" s="688"/>
      <c r="AN37" s="555"/>
      <c r="AO37" s="688"/>
      <c r="AP37" s="688"/>
      <c r="AQ37" s="688"/>
      <c r="AR37" s="688"/>
      <c r="AS37" s="688"/>
      <c r="AT37" s="688"/>
      <c r="AU37" s="688"/>
      <c r="AV37" s="688"/>
      <c r="AW37" s="688"/>
      <c r="AX37" s="688"/>
      <c r="AY37" s="688"/>
      <c r="AZ37" s="688"/>
      <c r="BA37" s="688"/>
    </row>
    <row r="38" spans="1:53" s="538" customFormat="1" ht="19" thickBot="1" x14ac:dyDescent="0.5">
      <c r="A38" s="689" t="s">
        <v>186</v>
      </c>
      <c r="B38" s="474">
        <f>'2016-2017'!AH34</f>
        <v>104844.00000000105</v>
      </c>
      <c r="C38" s="475">
        <v>100727.8</v>
      </c>
      <c r="D38" s="474"/>
      <c r="E38" s="474">
        <v>67610.38</v>
      </c>
      <c r="F38" s="474">
        <v>4116.2</v>
      </c>
      <c r="G38" s="477">
        <v>64307.35</v>
      </c>
      <c r="H38" s="474">
        <v>64307.35</v>
      </c>
      <c r="I38" s="474">
        <v>60455.88</v>
      </c>
      <c r="J38" s="474">
        <f>67610.38</f>
        <v>67610.38</v>
      </c>
      <c r="K38" s="474">
        <v>67627.73</v>
      </c>
      <c r="L38" s="474"/>
      <c r="M38" s="474">
        <v>65792.87</v>
      </c>
      <c r="N38" s="474">
        <f>128083.61</f>
        <v>128083.61</v>
      </c>
      <c r="O38" s="476">
        <v>58140.51</v>
      </c>
      <c r="P38" s="477">
        <v>65792.87</v>
      </c>
      <c r="Q38" s="477">
        <v>71136.33</v>
      </c>
      <c r="R38" s="477">
        <v>129276.84</v>
      </c>
      <c r="S38" s="477">
        <v>64385.18</v>
      </c>
      <c r="T38" s="477"/>
      <c r="U38" s="477">
        <v>62116.439999999995</v>
      </c>
      <c r="V38" s="477"/>
      <c r="W38" s="477">
        <v>63574.75</v>
      </c>
      <c r="X38" s="477">
        <v>190076.37</v>
      </c>
      <c r="Y38" s="477">
        <v>64293.82</v>
      </c>
      <c r="Z38" s="477"/>
      <c r="AA38" s="477"/>
      <c r="AB38" s="477">
        <v>69480.28</v>
      </c>
      <c r="AC38" s="537"/>
      <c r="AD38" s="537"/>
      <c r="AE38" s="476">
        <f t="shared" si="2"/>
        <v>133774.10000000105</v>
      </c>
      <c r="AF38" s="558"/>
      <c r="AG38" s="476">
        <v>104844.00000000105</v>
      </c>
      <c r="AH38" s="475">
        <v>100727.8</v>
      </c>
      <c r="AI38" s="476">
        <f t="shared" ref="AI38:AI69" si="4">E38+G38+I38+K38+M38+O38+Q38+S38+U38+W38+Y38+AA38+AB38+AD38</f>
        <v>778921.52</v>
      </c>
      <c r="AJ38" s="537">
        <f t="shared" ref="AJ38:AJ69" si="5">D38+F38+H38+J38+L38+N38+P38+R38+T38+V38+X38+Z38+AC38</f>
        <v>649263.62</v>
      </c>
      <c r="AK38" s="476">
        <f t="shared" si="3"/>
        <v>133774.10000000102</v>
      </c>
      <c r="AL38" s="479" t="s">
        <v>457</v>
      </c>
      <c r="AM38" s="688"/>
      <c r="AN38" s="555"/>
      <c r="AO38" s="688"/>
      <c r="AP38" s="688"/>
      <c r="AQ38" s="688"/>
      <c r="AR38" s="688"/>
      <c r="AS38" s="688"/>
      <c r="AT38" s="688"/>
      <c r="AU38" s="688"/>
      <c r="AV38" s="688"/>
      <c r="AW38" s="688"/>
      <c r="AX38" s="688"/>
      <c r="AY38" s="688"/>
      <c r="AZ38" s="688"/>
      <c r="BA38" s="688"/>
    </row>
    <row r="39" spans="1:53" s="538" customFormat="1" ht="19" thickBot="1" x14ac:dyDescent="0.5">
      <c r="A39" s="689" t="s">
        <v>39</v>
      </c>
      <c r="B39" s="474">
        <f>'2016-2017'!AH35</f>
        <v>2182458.54</v>
      </c>
      <c r="C39" s="475"/>
      <c r="D39" s="474">
        <f>94421.13+67290.17+222580.6+4430.65</f>
        <v>388722.55000000005</v>
      </c>
      <c r="E39" s="474">
        <v>505048.95</v>
      </c>
      <c r="F39" s="474">
        <f>463.7+605.7+10521.3+258570.92+285352.57</f>
        <v>555514.18999999994</v>
      </c>
      <c r="G39" s="477">
        <v>498940.01</v>
      </c>
      <c r="H39" s="474">
        <f>74227.7+247245.9</f>
        <v>321473.59999999998</v>
      </c>
      <c r="I39" s="481">
        <v>469064.01</v>
      </c>
      <c r="J39" s="474">
        <f>80178.95+26192.14+15607.05+64279.58+12066.8+61412.77+167011.59+332421.29</f>
        <v>759170.16999999993</v>
      </c>
      <c r="K39" s="474">
        <v>471548.72</v>
      </c>
      <c r="L39" s="474"/>
      <c r="M39" s="474">
        <v>486124.36</v>
      </c>
      <c r="N39" s="474">
        <f>293853.01+130912.88+14367.06+12216.5</f>
        <v>451349.45</v>
      </c>
      <c r="O39" s="476">
        <v>338288.23</v>
      </c>
      <c r="P39" s="477">
        <f>6592.88</f>
        <v>6592.88</v>
      </c>
      <c r="Q39" s="477">
        <v>609339.79</v>
      </c>
      <c r="R39" s="477">
        <v>442576.22</v>
      </c>
      <c r="S39" s="477">
        <v>612454.41</v>
      </c>
      <c r="T39" s="477">
        <v>462827.91000000003</v>
      </c>
      <c r="U39" s="477">
        <v>410378.15</v>
      </c>
      <c r="V39" s="477"/>
      <c r="W39" s="477">
        <v>654028.51</v>
      </c>
      <c r="X39" s="477">
        <v>611882.81000000006</v>
      </c>
      <c r="Y39" s="477">
        <v>535168.56999999995</v>
      </c>
      <c r="Z39" s="477">
        <f>62180.47+7028.54+187789.13</f>
        <v>256998.14</v>
      </c>
      <c r="AA39" s="477"/>
      <c r="AB39" s="477">
        <v>500563.51</v>
      </c>
      <c r="AC39" s="537"/>
      <c r="AD39" s="537"/>
      <c r="AE39" s="476">
        <f t="shared" si="2"/>
        <v>4016297.84</v>
      </c>
      <c r="AF39" s="558"/>
      <c r="AG39" s="476">
        <v>2182458.54</v>
      </c>
      <c r="AH39" s="475"/>
      <c r="AI39" s="476">
        <f t="shared" si="4"/>
        <v>6090947.2199999997</v>
      </c>
      <c r="AJ39" s="537">
        <f t="shared" si="5"/>
        <v>4257107.92</v>
      </c>
      <c r="AK39" s="476">
        <f t="shared" si="3"/>
        <v>4016297.84</v>
      </c>
      <c r="AL39" s="479" t="s">
        <v>458</v>
      </c>
      <c r="AM39" s="688"/>
      <c r="AN39" s="555"/>
      <c r="AO39" s="688"/>
      <c r="AP39" s="688"/>
      <c r="AQ39" s="688"/>
      <c r="AR39" s="688"/>
      <c r="AS39" s="688"/>
      <c r="AT39" s="688"/>
      <c r="AU39" s="688"/>
      <c r="AV39" s="688"/>
      <c r="AW39" s="688"/>
      <c r="AX39" s="688"/>
      <c r="AY39" s="688"/>
      <c r="AZ39" s="688"/>
      <c r="BA39" s="688"/>
    </row>
    <row r="40" spans="1:53" s="538" customFormat="1" ht="19" thickBot="1" x14ac:dyDescent="0.5">
      <c r="A40" s="689" t="s">
        <v>73</v>
      </c>
      <c r="B40" s="474">
        <f>'2016-2017'!AH36</f>
        <v>2064496.9800000004</v>
      </c>
      <c r="C40" s="475">
        <v>524527.22</v>
      </c>
      <c r="D40" s="474"/>
      <c r="E40" s="481">
        <v>464351.19</v>
      </c>
      <c r="F40" s="481">
        <f>298768.74+391444.97</f>
        <v>690213.71</v>
      </c>
      <c r="G40" s="539">
        <v>450324.45</v>
      </c>
      <c r="H40" s="481">
        <f>96148.23+324424.51+464351.19</f>
        <v>884923.92999999993</v>
      </c>
      <c r="I40" s="481">
        <v>450194.38</v>
      </c>
      <c r="J40" s="481">
        <f>90830.61</f>
        <v>90830.61</v>
      </c>
      <c r="K40" s="482">
        <v>465582.12</v>
      </c>
      <c r="L40" s="482"/>
      <c r="M40" s="482">
        <v>460220.51999999996</v>
      </c>
      <c r="N40" s="482"/>
      <c r="O40" s="476">
        <v>326437.46000000002</v>
      </c>
      <c r="P40" s="477"/>
      <c r="Q40" s="477">
        <v>535517.84</v>
      </c>
      <c r="R40" s="477">
        <v>1826321.47</v>
      </c>
      <c r="S40" s="477">
        <v>518519.4</v>
      </c>
      <c r="T40" s="477"/>
      <c r="U40" s="477">
        <v>292653.14</v>
      </c>
      <c r="V40" s="477"/>
      <c r="W40" s="477">
        <v>560424.27999999991</v>
      </c>
      <c r="X40" s="477">
        <v>635127.87</v>
      </c>
      <c r="Y40" s="477">
        <v>510572.71</v>
      </c>
      <c r="Z40" s="530">
        <f>292653.14+535517.84</f>
        <v>828170.98</v>
      </c>
      <c r="AA40" s="477"/>
      <c r="AB40" s="477">
        <v>484223.09999999992</v>
      </c>
      <c r="AC40" s="537"/>
      <c r="AD40" s="537"/>
      <c r="AE40" s="476">
        <f t="shared" si="2"/>
        <v>2103401.7800000003</v>
      </c>
      <c r="AF40" s="558"/>
      <c r="AG40" s="476">
        <v>2064496.9800000004</v>
      </c>
      <c r="AH40" s="475">
        <v>524527.22</v>
      </c>
      <c r="AI40" s="476">
        <f t="shared" si="4"/>
        <v>5519020.5899999999</v>
      </c>
      <c r="AJ40" s="537">
        <f t="shared" si="5"/>
        <v>4955588.57</v>
      </c>
      <c r="AK40" s="476">
        <f t="shared" si="3"/>
        <v>2103401.7800000003</v>
      </c>
      <c r="AL40" s="479" t="s">
        <v>458</v>
      </c>
      <c r="AM40" s="688"/>
      <c r="AN40" s="555"/>
      <c r="AO40" s="688"/>
      <c r="AP40" s="688"/>
      <c r="AQ40" s="688"/>
      <c r="AR40" s="688"/>
      <c r="AS40" s="688"/>
      <c r="AT40" s="688"/>
      <c r="AU40" s="688"/>
      <c r="AV40" s="688"/>
      <c r="AW40" s="688"/>
      <c r="AX40" s="688"/>
      <c r="AY40" s="688"/>
      <c r="AZ40" s="688"/>
      <c r="BA40" s="688"/>
    </row>
    <row r="41" spans="1:53" s="538" customFormat="1" ht="19" thickBot="1" x14ac:dyDescent="0.5">
      <c r="A41" s="689" t="s">
        <v>54</v>
      </c>
      <c r="B41" s="474">
        <f>'2016-2017'!AH37</f>
        <v>771566.3600000001</v>
      </c>
      <c r="C41" s="475">
        <v>771566.36</v>
      </c>
      <c r="D41" s="474"/>
      <c r="E41" s="481">
        <v>0</v>
      </c>
      <c r="F41" s="481"/>
      <c r="G41" s="539"/>
      <c r="H41" s="481"/>
      <c r="I41" s="481">
        <v>0</v>
      </c>
      <c r="J41" s="481"/>
      <c r="K41" s="482"/>
      <c r="L41" s="482"/>
      <c r="M41" s="482"/>
      <c r="N41" s="482"/>
      <c r="O41" s="476"/>
      <c r="P41" s="477"/>
      <c r="Q41" s="477"/>
      <c r="R41" s="477"/>
      <c r="S41" s="477"/>
      <c r="T41" s="477"/>
      <c r="U41" s="477"/>
      <c r="V41" s="477"/>
      <c r="W41" s="477">
        <v>0</v>
      </c>
      <c r="X41" s="477"/>
      <c r="Y41" s="477"/>
      <c r="Z41" s="477"/>
      <c r="AA41" s="477"/>
      <c r="AB41" s="477">
        <v>0</v>
      </c>
      <c r="AC41" s="537"/>
      <c r="AD41" s="537"/>
      <c r="AE41" s="476">
        <f t="shared" si="2"/>
        <v>1.1641532182693481E-10</v>
      </c>
      <c r="AF41" s="558"/>
      <c r="AG41" s="476">
        <v>771566.3600000001</v>
      </c>
      <c r="AH41" s="475">
        <v>771566.36</v>
      </c>
      <c r="AI41" s="476">
        <f t="shared" si="4"/>
        <v>0</v>
      </c>
      <c r="AJ41" s="537">
        <f t="shared" si="5"/>
        <v>0</v>
      </c>
      <c r="AK41" s="476">
        <f t="shared" si="3"/>
        <v>1.1641532182693481E-10</v>
      </c>
      <c r="AL41" s="479" t="s">
        <v>458</v>
      </c>
      <c r="AM41" s="688"/>
      <c r="AN41" s="555"/>
      <c r="AO41" s="688"/>
      <c r="AP41" s="688"/>
      <c r="AQ41" s="688"/>
      <c r="AR41" s="688"/>
      <c r="AS41" s="688"/>
      <c r="AT41" s="688"/>
      <c r="AU41" s="688"/>
      <c r="AV41" s="688"/>
      <c r="AW41" s="688"/>
      <c r="AX41" s="688"/>
      <c r="AY41" s="688"/>
      <c r="AZ41" s="688"/>
      <c r="BA41" s="688"/>
    </row>
    <row r="42" spans="1:53" s="538" customFormat="1" ht="19" thickBot="1" x14ac:dyDescent="0.5">
      <c r="A42" s="689" t="s">
        <v>44</v>
      </c>
      <c r="B42" s="474">
        <f>'2016-2017'!AH38</f>
        <v>699877.59999999939</v>
      </c>
      <c r="C42" s="475">
        <v>684127.6</v>
      </c>
      <c r="D42" s="474">
        <f>15750</f>
        <v>15750</v>
      </c>
      <c r="E42" s="481">
        <v>0</v>
      </c>
      <c r="F42" s="481"/>
      <c r="G42" s="539"/>
      <c r="H42" s="481"/>
      <c r="I42" s="481">
        <v>0</v>
      </c>
      <c r="J42" s="481"/>
      <c r="K42" s="482"/>
      <c r="L42" s="482"/>
      <c r="M42" s="482"/>
      <c r="N42" s="482"/>
      <c r="O42" s="476"/>
      <c r="P42" s="477"/>
      <c r="Q42" s="477"/>
      <c r="R42" s="477"/>
      <c r="S42" s="477"/>
      <c r="T42" s="477"/>
      <c r="U42" s="477"/>
      <c r="V42" s="477"/>
      <c r="W42" s="477">
        <v>0</v>
      </c>
      <c r="X42" s="477"/>
      <c r="Y42" s="477"/>
      <c r="Z42" s="477"/>
      <c r="AA42" s="477"/>
      <c r="AB42" s="477">
        <v>0</v>
      </c>
      <c r="AC42" s="537"/>
      <c r="AD42" s="537"/>
      <c r="AE42" s="476">
        <f t="shared" si="2"/>
        <v>-5.8207660913467407E-10</v>
      </c>
      <c r="AF42" s="558"/>
      <c r="AG42" s="476">
        <v>699877.59999999939</v>
      </c>
      <c r="AH42" s="475">
        <v>684127.6</v>
      </c>
      <c r="AI42" s="476">
        <f t="shared" si="4"/>
        <v>0</v>
      </c>
      <c r="AJ42" s="537">
        <f t="shared" si="5"/>
        <v>15750</v>
      </c>
      <c r="AK42" s="476">
        <f t="shared" si="3"/>
        <v>-5.8207660913467407E-10</v>
      </c>
      <c r="AL42" s="479" t="s">
        <v>458</v>
      </c>
      <c r="AM42" s="688"/>
      <c r="AN42" s="555"/>
      <c r="AO42" s="688"/>
      <c r="AP42" s="688"/>
      <c r="AQ42" s="688"/>
      <c r="AR42" s="688"/>
      <c r="AS42" s="688"/>
      <c r="AT42" s="688"/>
      <c r="AU42" s="688"/>
      <c r="AV42" s="688"/>
      <c r="AW42" s="688"/>
      <c r="AX42" s="688"/>
      <c r="AY42" s="688"/>
      <c r="AZ42" s="688"/>
      <c r="BA42" s="688"/>
    </row>
    <row r="43" spans="1:53" s="538" customFormat="1" ht="19" thickBot="1" x14ac:dyDescent="0.5">
      <c r="A43" s="689" t="s">
        <v>42</v>
      </c>
      <c r="B43" s="474">
        <f>'2016-2017'!AH39</f>
        <v>940174.65999999922</v>
      </c>
      <c r="C43" s="475">
        <v>6301.12</v>
      </c>
      <c r="D43" s="474">
        <v>473701.3</v>
      </c>
      <c r="E43" s="481">
        <v>453254.82999999996</v>
      </c>
      <c r="F43" s="481">
        <f>152129.95</f>
        <v>152129.95000000001</v>
      </c>
      <c r="G43" s="539">
        <v>466870.37</v>
      </c>
      <c r="H43" s="481">
        <f>783681.13</f>
        <v>783681.13</v>
      </c>
      <c r="I43" s="481">
        <v>420466.77999999997</v>
      </c>
      <c r="J43" s="481">
        <f>320955.65+531909.24</f>
        <v>852864.89</v>
      </c>
      <c r="K43" s="482">
        <v>395371.39</v>
      </c>
      <c r="L43" s="482"/>
      <c r="M43" s="482">
        <v>370825.95</v>
      </c>
      <c r="N43" s="482">
        <v>395371.39</v>
      </c>
      <c r="O43" s="476">
        <v>257675.85</v>
      </c>
      <c r="P43" s="477">
        <v>370825.95</v>
      </c>
      <c r="Q43" s="477">
        <v>520585.59</v>
      </c>
      <c r="R43" s="477"/>
      <c r="S43" s="477">
        <v>609218.04999999993</v>
      </c>
      <c r="T43" s="477"/>
      <c r="U43" s="477">
        <v>251598.78</v>
      </c>
      <c r="V43" s="477"/>
      <c r="W43" s="477">
        <v>574808.1399999999</v>
      </c>
      <c r="X43" s="477">
        <v>1029860.22</v>
      </c>
      <c r="Y43" s="477">
        <v>501078.63</v>
      </c>
      <c r="Z43" s="477">
        <f>609218.05+574808.14+501078.63</f>
        <v>1685104.8199999998</v>
      </c>
      <c r="AA43" s="477"/>
      <c r="AB43" s="477">
        <v>511047.20000000007</v>
      </c>
      <c r="AC43" s="537"/>
      <c r="AD43" s="537"/>
      <c r="AE43" s="476">
        <f t="shared" si="2"/>
        <v>523135.4499999996</v>
      </c>
      <c r="AF43" s="558"/>
      <c r="AG43" s="476">
        <v>940174.65999999922</v>
      </c>
      <c r="AH43" s="475">
        <v>6301.12</v>
      </c>
      <c r="AI43" s="476">
        <f t="shared" si="4"/>
        <v>5332801.5599999996</v>
      </c>
      <c r="AJ43" s="537">
        <f t="shared" si="5"/>
        <v>5743539.6500000004</v>
      </c>
      <c r="AK43" s="476">
        <f t="shared" si="3"/>
        <v>523135.44999999832</v>
      </c>
      <c r="AL43" s="479" t="s">
        <v>457</v>
      </c>
      <c r="AM43" s="688"/>
      <c r="AN43" s="555"/>
      <c r="AO43" s="688"/>
      <c r="AP43" s="688"/>
      <c r="AQ43" s="688"/>
      <c r="AR43" s="688"/>
      <c r="AS43" s="688"/>
      <c r="AT43" s="688"/>
      <c r="AU43" s="688"/>
      <c r="AV43" s="688"/>
      <c r="AW43" s="688"/>
      <c r="AX43" s="688"/>
      <c r="AY43" s="688"/>
      <c r="AZ43" s="688"/>
      <c r="BA43" s="688"/>
    </row>
    <row r="44" spans="1:53" s="538" customFormat="1" ht="19" thickBot="1" x14ac:dyDescent="0.5">
      <c r="A44" s="689" t="s">
        <v>49</v>
      </c>
      <c r="B44" s="474">
        <f>'2016-2017'!AH40</f>
        <v>536443.22</v>
      </c>
      <c r="C44" s="475">
        <v>536443.22</v>
      </c>
      <c r="D44" s="474"/>
      <c r="E44" s="481">
        <v>0</v>
      </c>
      <c r="F44" s="481"/>
      <c r="G44" s="539"/>
      <c r="H44" s="481"/>
      <c r="I44" s="481">
        <v>0</v>
      </c>
      <c r="J44" s="481"/>
      <c r="K44" s="482"/>
      <c r="L44" s="482"/>
      <c r="M44" s="482"/>
      <c r="N44" s="482"/>
      <c r="O44" s="476"/>
      <c r="P44" s="477"/>
      <c r="Q44" s="477"/>
      <c r="R44" s="477"/>
      <c r="S44" s="477"/>
      <c r="T44" s="477"/>
      <c r="U44" s="477"/>
      <c r="V44" s="477"/>
      <c r="W44" s="477">
        <v>0</v>
      </c>
      <c r="X44" s="477"/>
      <c r="Y44" s="477"/>
      <c r="Z44" s="477"/>
      <c r="AA44" s="477"/>
      <c r="AB44" s="477">
        <v>0</v>
      </c>
      <c r="AC44" s="537"/>
      <c r="AD44" s="537"/>
      <c r="AE44" s="476">
        <f t="shared" si="2"/>
        <v>0</v>
      </c>
      <c r="AF44" s="558"/>
      <c r="AG44" s="476">
        <v>536443.22</v>
      </c>
      <c r="AH44" s="475">
        <v>536443.22</v>
      </c>
      <c r="AI44" s="476">
        <f t="shared" si="4"/>
        <v>0</v>
      </c>
      <c r="AJ44" s="537">
        <f t="shared" si="5"/>
        <v>0</v>
      </c>
      <c r="AK44" s="476">
        <f t="shared" si="3"/>
        <v>0</v>
      </c>
      <c r="AL44" s="479" t="s">
        <v>458</v>
      </c>
      <c r="AM44" s="688"/>
      <c r="AN44" s="555"/>
      <c r="AO44" s="688"/>
      <c r="AP44" s="688"/>
      <c r="AQ44" s="688"/>
      <c r="AR44" s="688"/>
      <c r="AS44" s="688"/>
      <c r="AT44" s="688"/>
      <c r="AU44" s="688"/>
      <c r="AV44" s="688"/>
      <c r="AW44" s="688"/>
      <c r="AX44" s="688"/>
      <c r="AY44" s="688"/>
      <c r="AZ44" s="688"/>
      <c r="BA44" s="688"/>
    </row>
    <row r="45" spans="1:53" s="538" customFormat="1" ht="19" thickBot="1" x14ac:dyDescent="0.5">
      <c r="A45" s="689" t="s">
        <v>63</v>
      </c>
      <c r="B45" s="474">
        <f>'2016-2017'!AH41</f>
        <v>-4925.8499999995111</v>
      </c>
      <c r="C45" s="475"/>
      <c r="D45" s="474"/>
      <c r="E45" s="481">
        <v>0</v>
      </c>
      <c r="F45" s="481"/>
      <c r="G45" s="539"/>
      <c r="H45" s="481"/>
      <c r="I45" s="481">
        <v>0</v>
      </c>
      <c r="J45" s="481"/>
      <c r="K45" s="482"/>
      <c r="L45" s="482"/>
      <c r="M45" s="482"/>
      <c r="N45" s="482"/>
      <c r="O45" s="476"/>
      <c r="P45" s="477"/>
      <c r="Q45" s="477"/>
      <c r="R45" s="477"/>
      <c r="S45" s="477"/>
      <c r="T45" s="477"/>
      <c r="U45" s="477"/>
      <c r="V45" s="477"/>
      <c r="W45" s="477">
        <v>0</v>
      </c>
      <c r="X45" s="477"/>
      <c r="Y45" s="477"/>
      <c r="Z45" s="477"/>
      <c r="AA45" s="477"/>
      <c r="AB45" s="477">
        <v>0</v>
      </c>
      <c r="AC45" s="537"/>
      <c r="AD45" s="537"/>
      <c r="AE45" s="476">
        <f t="shared" si="2"/>
        <v>-4925.8499999995111</v>
      </c>
      <c r="AF45" s="558"/>
      <c r="AG45" s="476">
        <v>-4925.8499999995111</v>
      </c>
      <c r="AH45" s="475"/>
      <c r="AI45" s="476">
        <f t="shared" si="4"/>
        <v>0</v>
      </c>
      <c r="AJ45" s="537">
        <f t="shared" si="5"/>
        <v>0</v>
      </c>
      <c r="AK45" s="476">
        <f t="shared" si="3"/>
        <v>-4925.8499999995111</v>
      </c>
      <c r="AL45" s="479" t="s">
        <v>458</v>
      </c>
      <c r="AM45" s="688"/>
      <c r="AN45" s="555"/>
      <c r="AO45" s="688"/>
      <c r="AP45" s="688"/>
      <c r="AQ45" s="688"/>
      <c r="AR45" s="688"/>
      <c r="AS45" s="688"/>
      <c r="AT45" s="688"/>
      <c r="AU45" s="688"/>
      <c r="AV45" s="688"/>
      <c r="AW45" s="688"/>
      <c r="AX45" s="688"/>
      <c r="AY45" s="688"/>
      <c r="AZ45" s="688"/>
      <c r="BA45" s="688"/>
    </row>
    <row r="46" spans="1:53" s="538" customFormat="1" ht="19" thickBot="1" x14ac:dyDescent="0.5">
      <c r="A46" s="689" t="s">
        <v>60</v>
      </c>
      <c r="B46" s="474">
        <f>'2016-2017'!AH42</f>
        <v>1240756.2190000024</v>
      </c>
      <c r="C46" s="475"/>
      <c r="D46" s="474">
        <f>869913.43</f>
        <v>869913.43</v>
      </c>
      <c r="E46" s="481">
        <v>768829.76</v>
      </c>
      <c r="F46" s="481">
        <f>655440.23+269224.88</f>
        <v>924665.11</v>
      </c>
      <c r="G46" s="539">
        <v>749096.43</v>
      </c>
      <c r="H46" s="481">
        <v>768829.76</v>
      </c>
      <c r="I46" s="481">
        <v>752265.8</v>
      </c>
      <c r="J46" s="481">
        <f>749096.43</f>
        <v>749096.43</v>
      </c>
      <c r="K46" s="482">
        <v>748740.81</v>
      </c>
      <c r="L46" s="482">
        <v>752265.8</v>
      </c>
      <c r="M46" s="482">
        <v>711683.25</v>
      </c>
      <c r="N46" s="482">
        <v>748740.81</v>
      </c>
      <c r="O46" s="476">
        <v>538502.44999999995</v>
      </c>
      <c r="P46" s="477">
        <v>711683.25</v>
      </c>
      <c r="Q46" s="477">
        <v>918223.43</v>
      </c>
      <c r="R46" s="477"/>
      <c r="S46" s="477">
        <v>848768.84</v>
      </c>
      <c r="T46" s="477">
        <v>1456725.88</v>
      </c>
      <c r="U46" s="477">
        <v>574920.38</v>
      </c>
      <c r="V46" s="477">
        <v>848768.84</v>
      </c>
      <c r="W46" s="477">
        <v>1467359.81</v>
      </c>
      <c r="X46" s="477"/>
      <c r="Y46" s="579">
        <v>833667.28999999992</v>
      </c>
      <c r="Z46" s="477">
        <v>574920.38</v>
      </c>
      <c r="AA46" s="477"/>
      <c r="AB46" s="477">
        <v>747494.36</v>
      </c>
      <c r="AC46" s="537"/>
      <c r="AD46" s="537"/>
      <c r="AE46" s="476">
        <f t="shared" si="2"/>
        <v>2494699.1390000028</v>
      </c>
      <c r="AF46" s="558"/>
      <c r="AG46" s="476">
        <v>1240756.2190000024</v>
      </c>
      <c r="AH46" s="475"/>
      <c r="AI46" s="476">
        <f t="shared" si="4"/>
        <v>9659552.6099999975</v>
      </c>
      <c r="AJ46" s="537">
        <f t="shared" si="5"/>
        <v>8405609.6899999995</v>
      </c>
      <c r="AK46" s="476">
        <f t="shared" si="3"/>
        <v>2494699.1390000004</v>
      </c>
      <c r="AL46" s="479" t="s">
        <v>457</v>
      </c>
      <c r="AM46" s="688"/>
      <c r="AN46" s="555"/>
      <c r="AO46" s="688"/>
      <c r="AP46" s="688"/>
      <c r="AQ46" s="688"/>
      <c r="AR46" s="688"/>
      <c r="AS46" s="688"/>
      <c r="AT46" s="688"/>
      <c r="AU46" s="688"/>
      <c r="AV46" s="688"/>
      <c r="AW46" s="688"/>
      <c r="AX46" s="688"/>
      <c r="AY46" s="688"/>
      <c r="AZ46" s="688"/>
      <c r="BA46" s="688"/>
    </row>
    <row r="47" spans="1:53" s="538" customFormat="1" ht="19" thickBot="1" x14ac:dyDescent="0.5">
      <c r="A47" s="689" t="s">
        <v>71</v>
      </c>
      <c r="B47" s="474">
        <f>'2016-2017'!AH43</f>
        <v>1206990.5299999998</v>
      </c>
      <c r="C47" s="475"/>
      <c r="D47" s="474"/>
      <c r="E47" s="481">
        <v>76807.02</v>
      </c>
      <c r="F47" s="481">
        <v>39795.78</v>
      </c>
      <c r="G47" s="539">
        <v>79629.02</v>
      </c>
      <c r="H47" s="481"/>
      <c r="I47" s="481">
        <v>78721.84</v>
      </c>
      <c r="J47" s="481"/>
      <c r="K47" s="482">
        <v>79508.740000000005</v>
      </c>
      <c r="L47" s="482">
        <v>79508.740000000005</v>
      </c>
      <c r="M47" s="482">
        <v>79438.760000000009</v>
      </c>
      <c r="N47" s="482">
        <f>79438.76</f>
        <v>79438.759999999995</v>
      </c>
      <c r="O47" s="476">
        <v>48862.68</v>
      </c>
      <c r="P47" s="477"/>
      <c r="Q47" s="477">
        <v>103041.48</v>
      </c>
      <c r="R47" s="477">
        <v>989844.56</v>
      </c>
      <c r="S47" s="477">
        <v>92926.74</v>
      </c>
      <c r="T47" s="477"/>
      <c r="U47" s="477">
        <v>65650.97</v>
      </c>
      <c r="V47" s="477">
        <v>36097.800000000003</v>
      </c>
      <c r="W47" s="477">
        <v>81648.600000000006</v>
      </c>
      <c r="X47" s="477">
        <v>240226.31000000003</v>
      </c>
      <c r="Y47" s="477">
        <v>79847.360000000001</v>
      </c>
      <c r="Z47" s="477">
        <f>124547.22</f>
        <v>124547.22</v>
      </c>
      <c r="AA47" s="477"/>
      <c r="AB47" s="477">
        <v>77158.89</v>
      </c>
      <c r="AC47" s="537"/>
      <c r="AD47" s="537"/>
      <c r="AE47" s="476">
        <f t="shared" si="2"/>
        <v>560773.45999999961</v>
      </c>
      <c r="AF47" s="558"/>
      <c r="AG47" s="476">
        <v>1206990.5299999998</v>
      </c>
      <c r="AH47" s="475"/>
      <c r="AI47" s="476">
        <f t="shared" si="4"/>
        <v>943242.1</v>
      </c>
      <c r="AJ47" s="537">
        <f t="shared" si="5"/>
        <v>1589459.1700000002</v>
      </c>
      <c r="AK47" s="476">
        <f t="shared" si="3"/>
        <v>560773.45999999973</v>
      </c>
      <c r="AL47" s="479" t="s">
        <v>458</v>
      </c>
      <c r="AM47" s="688"/>
      <c r="AN47" s="555"/>
      <c r="AO47" s="688"/>
      <c r="AP47" s="688"/>
      <c r="AQ47" s="688"/>
      <c r="AR47" s="688"/>
      <c r="AS47" s="688"/>
      <c r="AT47" s="688"/>
      <c r="AU47" s="688"/>
      <c r="AV47" s="688"/>
      <c r="AW47" s="688"/>
      <c r="AX47" s="688"/>
      <c r="AY47" s="688"/>
      <c r="AZ47" s="688"/>
      <c r="BA47" s="688"/>
    </row>
    <row r="48" spans="1:53" s="538" customFormat="1" ht="19" thickBot="1" x14ac:dyDescent="0.5">
      <c r="A48" s="689" t="s">
        <v>88</v>
      </c>
      <c r="B48" s="474">
        <v>-4429.3100000000004</v>
      </c>
      <c r="C48" s="475">
        <v>80248.69</v>
      </c>
      <c r="D48" s="474"/>
      <c r="E48" s="481">
        <v>7698</v>
      </c>
      <c r="F48" s="481"/>
      <c r="G48" s="539">
        <v>7698</v>
      </c>
      <c r="H48" s="481"/>
      <c r="I48" s="481">
        <v>7698</v>
      </c>
      <c r="J48" s="481"/>
      <c r="K48" s="482">
        <v>7698</v>
      </c>
      <c r="L48" s="482"/>
      <c r="M48" s="482">
        <v>7698</v>
      </c>
      <c r="N48" s="482">
        <v>0</v>
      </c>
      <c r="O48" s="476">
        <v>7698</v>
      </c>
      <c r="P48" s="477"/>
      <c r="Q48" s="477">
        <v>7698</v>
      </c>
      <c r="R48" s="477"/>
      <c r="S48" s="477">
        <v>7698</v>
      </c>
      <c r="T48" s="477"/>
      <c r="U48" s="477">
        <v>7698</v>
      </c>
      <c r="V48" s="477"/>
      <c r="W48" s="477">
        <v>7698</v>
      </c>
      <c r="X48" s="477"/>
      <c r="Y48" s="477">
        <v>7698</v>
      </c>
      <c r="Z48" s="477"/>
      <c r="AA48" s="477"/>
      <c r="AB48" s="477">
        <v>7698</v>
      </c>
      <c r="AC48" s="537"/>
      <c r="AD48" s="537"/>
      <c r="AE48" s="476">
        <f t="shared" si="2"/>
        <v>7698</v>
      </c>
      <c r="AF48" s="558"/>
      <c r="AG48" s="476">
        <v>-4429.3100000000004</v>
      </c>
      <c r="AH48" s="475">
        <v>80248.69</v>
      </c>
      <c r="AI48" s="476">
        <f t="shared" si="4"/>
        <v>92376</v>
      </c>
      <c r="AJ48" s="537">
        <f t="shared" si="5"/>
        <v>0</v>
      </c>
      <c r="AK48" s="476">
        <f t="shared" si="3"/>
        <v>7698</v>
      </c>
      <c r="AL48" s="479" t="s">
        <v>458</v>
      </c>
      <c r="AM48" s="688"/>
      <c r="AN48" s="555"/>
      <c r="AO48" s="688"/>
      <c r="AP48" s="688"/>
      <c r="AQ48" s="688"/>
      <c r="AR48" s="688"/>
      <c r="AS48" s="688"/>
      <c r="AT48" s="688"/>
      <c r="AU48" s="688"/>
      <c r="AV48" s="688"/>
      <c r="AW48" s="688"/>
      <c r="AX48" s="688"/>
      <c r="AY48" s="688"/>
      <c r="AZ48" s="688"/>
      <c r="BA48" s="688"/>
    </row>
    <row r="49" spans="1:53" s="538" customFormat="1" ht="19" thickBot="1" x14ac:dyDescent="0.5">
      <c r="A49" s="689" t="s">
        <v>336</v>
      </c>
      <c r="B49" s="474">
        <v>419881.48</v>
      </c>
      <c r="C49" s="475">
        <v>323692.03999999998</v>
      </c>
      <c r="D49" s="474">
        <f>38358.12</f>
        <v>38358.120000000003</v>
      </c>
      <c r="E49" s="481">
        <v>649.36</v>
      </c>
      <c r="F49" s="481">
        <v>54405.54</v>
      </c>
      <c r="G49" s="539">
        <v>31316.26</v>
      </c>
      <c r="H49" s="481">
        <v>649.36</v>
      </c>
      <c r="I49" s="481">
        <v>534.33000000000004</v>
      </c>
      <c r="J49" s="481"/>
      <c r="K49" s="482">
        <v>3911.53</v>
      </c>
      <c r="L49" s="482">
        <f>534.33+31316.26+3911.53</f>
        <v>35762.120000000003</v>
      </c>
      <c r="M49" s="482">
        <v>19164.2</v>
      </c>
      <c r="N49" s="482"/>
      <c r="O49" s="476">
        <v>28120.97</v>
      </c>
      <c r="P49" s="477">
        <f>19164.21</f>
        <v>19164.21</v>
      </c>
      <c r="Q49" s="477">
        <v>3353.67</v>
      </c>
      <c r="R49" s="477"/>
      <c r="S49" s="477">
        <v>16719.79</v>
      </c>
      <c r="T49" s="477">
        <v>31474.639999999999</v>
      </c>
      <c r="U49" s="477">
        <v>9655.94</v>
      </c>
      <c r="V49" s="477"/>
      <c r="W49" s="477">
        <v>20220.47</v>
      </c>
      <c r="X49" s="477">
        <v>25766.9</v>
      </c>
      <c r="Y49" s="477">
        <v>39122.26</v>
      </c>
      <c r="Z49" s="477">
        <f>20220.47+37886.36</f>
        <v>58106.83</v>
      </c>
      <c r="AA49" s="477"/>
      <c r="AB49" s="477">
        <v>33924.410000000003</v>
      </c>
      <c r="AC49" s="537"/>
      <c r="AD49" s="537"/>
      <c r="AE49" s="476">
        <f t="shared" si="2"/>
        <v>39194.910000000003</v>
      </c>
      <c r="AF49" s="558"/>
      <c r="AG49" s="476">
        <v>419881.48</v>
      </c>
      <c r="AH49" s="475">
        <v>323692.03999999998</v>
      </c>
      <c r="AI49" s="476">
        <f t="shared" si="4"/>
        <v>206693.19000000003</v>
      </c>
      <c r="AJ49" s="537">
        <f t="shared" si="5"/>
        <v>263687.71999999997</v>
      </c>
      <c r="AK49" s="476">
        <f t="shared" si="3"/>
        <v>39194.910000000033</v>
      </c>
      <c r="AL49" s="479" t="s">
        <v>457</v>
      </c>
      <c r="AM49" s="688"/>
      <c r="AN49" s="555"/>
      <c r="AO49" s="688"/>
      <c r="AP49" s="688"/>
      <c r="AQ49" s="688"/>
      <c r="AR49" s="688"/>
      <c r="AS49" s="688"/>
      <c r="AT49" s="688"/>
      <c r="AU49" s="688"/>
      <c r="AV49" s="688"/>
      <c r="AW49" s="688"/>
      <c r="AX49" s="688"/>
      <c r="AY49" s="688"/>
      <c r="AZ49" s="688"/>
      <c r="BA49" s="688"/>
    </row>
    <row r="50" spans="1:53" s="538" customFormat="1" ht="19" thickBot="1" x14ac:dyDescent="0.5">
      <c r="A50" s="689" t="s">
        <v>50</v>
      </c>
      <c r="B50" s="474">
        <f>'2016-2017'!AH46</f>
        <v>702563.64000000013</v>
      </c>
      <c r="C50" s="475">
        <v>510635.15</v>
      </c>
      <c r="D50" s="474"/>
      <c r="E50" s="481">
        <v>201361.66</v>
      </c>
      <c r="F50" s="481"/>
      <c r="G50" s="539">
        <v>191394.46</v>
      </c>
      <c r="H50" s="481">
        <f>146758+64986.15</f>
        <v>211744.15</v>
      </c>
      <c r="I50" s="481">
        <v>179014.77</v>
      </c>
      <c r="J50" s="481">
        <v>181008.46</v>
      </c>
      <c r="K50" s="482">
        <v>203344.78</v>
      </c>
      <c r="L50" s="482">
        <f>147397+1363+30254.77+805.5+147397+38924.28</f>
        <v>366141.55000000005</v>
      </c>
      <c r="M50" s="482">
        <v>488885.07</v>
      </c>
      <c r="N50" s="482"/>
      <c r="O50" s="476">
        <v>139288</v>
      </c>
      <c r="P50" s="477">
        <f>226501.07+2896</f>
        <v>229397.07</v>
      </c>
      <c r="Q50" s="477">
        <v>244916.72999999998</v>
      </c>
      <c r="R50" s="477">
        <f>131459.72</f>
        <v>131459.72</v>
      </c>
      <c r="S50" s="477">
        <v>31715.52</v>
      </c>
      <c r="T50" s="477">
        <v>562068.73</v>
      </c>
      <c r="U50" s="477">
        <v>122562.13</v>
      </c>
      <c r="V50" s="477">
        <f>67262.91</f>
        <v>67262.91</v>
      </c>
      <c r="W50" s="477">
        <v>287509.98</v>
      </c>
      <c r="X50" s="477">
        <v>93330.46</v>
      </c>
      <c r="Y50" s="477">
        <v>225598.75</v>
      </c>
      <c r="Z50" s="477">
        <f>204533+164016+61582.75</f>
        <v>430131.75</v>
      </c>
      <c r="AA50" s="477"/>
      <c r="AB50" s="477">
        <v>256306.44</v>
      </c>
      <c r="AC50" s="537"/>
      <c r="AD50" s="537"/>
      <c r="AE50" s="476">
        <f t="shared" si="2"/>
        <v>491281.98000000004</v>
      </c>
      <c r="AF50" s="558"/>
      <c r="AG50" s="476">
        <v>702563.64000000013</v>
      </c>
      <c r="AH50" s="475">
        <v>510635.15</v>
      </c>
      <c r="AI50" s="476">
        <f t="shared" si="4"/>
        <v>2571898.29</v>
      </c>
      <c r="AJ50" s="537">
        <f t="shared" si="5"/>
        <v>2272544.7999999998</v>
      </c>
      <c r="AK50" s="476">
        <f t="shared" si="3"/>
        <v>491281.98000000045</v>
      </c>
      <c r="AL50" s="479" t="s">
        <v>457</v>
      </c>
      <c r="AM50" s="688"/>
      <c r="AN50" s="555"/>
      <c r="AO50" s="688"/>
      <c r="AP50" s="688"/>
      <c r="AQ50" s="688"/>
      <c r="AR50" s="688"/>
      <c r="AS50" s="688"/>
      <c r="AT50" s="688"/>
      <c r="AU50" s="688"/>
      <c r="AV50" s="688"/>
      <c r="AW50" s="688"/>
      <c r="AX50" s="688"/>
      <c r="AY50" s="688"/>
      <c r="AZ50" s="688"/>
      <c r="BA50" s="688"/>
    </row>
    <row r="51" spans="1:53" s="538" customFormat="1" ht="19" thickBot="1" x14ac:dyDescent="0.5">
      <c r="A51" s="689" t="s">
        <v>417</v>
      </c>
      <c r="B51" s="474">
        <f>'2016-2017'!AH47</f>
        <v>540148.57000000018</v>
      </c>
      <c r="C51" s="475">
        <v>495113.61</v>
      </c>
      <c r="D51" s="474"/>
      <c r="E51" s="481">
        <v>102729.22</v>
      </c>
      <c r="F51" s="481">
        <f>8872.73+138891.45</f>
        <v>147764.18000000002</v>
      </c>
      <c r="G51" s="539">
        <v>105184.16</v>
      </c>
      <c r="H51" s="481">
        <v>105184.16</v>
      </c>
      <c r="I51" s="481">
        <v>109243.4</v>
      </c>
      <c r="J51" s="481">
        <v>109243.4</v>
      </c>
      <c r="K51" s="482">
        <v>103054.35</v>
      </c>
      <c r="L51" s="482">
        <v>103054.35</v>
      </c>
      <c r="M51" s="482">
        <v>99463.84</v>
      </c>
      <c r="N51" s="482">
        <f>99463.84</f>
        <v>99463.84</v>
      </c>
      <c r="O51" s="476">
        <v>69940</v>
      </c>
      <c r="P51" s="477"/>
      <c r="Q51" s="477">
        <v>133667.74</v>
      </c>
      <c r="R51" s="477"/>
      <c r="S51" s="477">
        <v>110934</v>
      </c>
      <c r="T51" s="477">
        <v>203607.74</v>
      </c>
      <c r="U51" s="477">
        <v>70373.77</v>
      </c>
      <c r="V51" s="477"/>
      <c r="W51" s="477">
        <v>94613.87</v>
      </c>
      <c r="X51" s="477">
        <v>275920.83</v>
      </c>
      <c r="Y51" s="477">
        <v>92447.679999999993</v>
      </c>
      <c r="Z51" s="477">
        <f>92447.68+62946</f>
        <v>155393.68</v>
      </c>
      <c r="AA51" s="477"/>
      <c r="AB51" s="477">
        <v>108230</v>
      </c>
      <c r="AC51" s="537"/>
      <c r="AD51" s="537"/>
      <c r="AE51" s="476">
        <f t="shared" si="2"/>
        <v>45284.810000000172</v>
      </c>
      <c r="AF51" s="558"/>
      <c r="AG51" s="476">
        <v>540148.57000000018</v>
      </c>
      <c r="AH51" s="475">
        <v>495113.61</v>
      </c>
      <c r="AI51" s="476">
        <f t="shared" si="4"/>
        <v>1199882.03</v>
      </c>
      <c r="AJ51" s="537">
        <f t="shared" si="5"/>
        <v>1199632.18</v>
      </c>
      <c r="AK51" s="476">
        <f t="shared" si="3"/>
        <v>45284.810000000289</v>
      </c>
      <c r="AL51" s="479" t="s">
        <v>457</v>
      </c>
      <c r="AM51" s="688"/>
      <c r="AN51" s="555"/>
      <c r="AO51" s="688"/>
      <c r="AP51" s="688"/>
      <c r="AQ51" s="688"/>
      <c r="AR51" s="688"/>
      <c r="AS51" s="688"/>
      <c r="AT51" s="688"/>
      <c r="AU51" s="688"/>
      <c r="AV51" s="688"/>
      <c r="AW51" s="688"/>
      <c r="AX51" s="688"/>
      <c r="AY51" s="688"/>
      <c r="AZ51" s="688"/>
      <c r="BA51" s="688"/>
    </row>
    <row r="52" spans="1:53" s="538" customFormat="1" ht="19" thickBot="1" x14ac:dyDescent="0.5">
      <c r="A52" s="689" t="s">
        <v>46</v>
      </c>
      <c r="B52" s="474">
        <f>'2016-2017'!AH48</f>
        <v>260749.32999999984</v>
      </c>
      <c r="C52" s="475">
        <v>197550.83</v>
      </c>
      <c r="D52" s="474"/>
      <c r="E52" s="481">
        <v>80869.549999999988</v>
      </c>
      <c r="F52" s="481">
        <f>58358.86</f>
        <v>58358.86</v>
      </c>
      <c r="G52" s="539">
        <v>85900.800000000003</v>
      </c>
      <c r="H52" s="481">
        <f>84897.28</f>
        <v>84897.279999999999</v>
      </c>
      <c r="I52" s="481">
        <v>86241.95</v>
      </c>
      <c r="J52" s="481">
        <f>151726.43</f>
        <v>151726.43</v>
      </c>
      <c r="K52" s="482">
        <v>86468.83</v>
      </c>
      <c r="L52" s="482"/>
      <c r="M52" s="482">
        <v>89811.459999999992</v>
      </c>
      <c r="N52" s="482">
        <f>76081.26</f>
        <v>76081.259999999995</v>
      </c>
      <c r="O52" s="476">
        <v>108966.85999999999</v>
      </c>
      <c r="P52" s="477">
        <v>79431.89</v>
      </c>
      <c r="Q52" s="477">
        <v>114566.95000000001</v>
      </c>
      <c r="R52" s="477"/>
      <c r="S52" s="477">
        <v>168770.62999999998</v>
      </c>
      <c r="T52" s="477">
        <f>114566.95+109308.58</f>
        <v>223875.53</v>
      </c>
      <c r="U52" s="477">
        <f>81184.03</f>
        <v>81184.03</v>
      </c>
      <c r="V52" s="477"/>
      <c r="W52" s="477">
        <v>78694.200000000012</v>
      </c>
      <c r="X52" s="477">
        <v>328648.86</v>
      </c>
      <c r="Y52" s="477">
        <v>83086.990000000005</v>
      </c>
      <c r="Z52" s="461">
        <f>83086.99</f>
        <v>83086.990000000005</v>
      </c>
      <c r="AA52" s="477"/>
      <c r="AB52" s="477">
        <v>33965.879999999997</v>
      </c>
      <c r="AC52" s="537"/>
      <c r="AD52" s="537"/>
      <c r="AE52" s="476">
        <f t="shared" si="2"/>
        <v>75619.529999999853</v>
      </c>
      <c r="AF52" s="558"/>
      <c r="AG52" s="476">
        <v>260749.32999999984</v>
      </c>
      <c r="AH52" s="475">
        <v>197550.83</v>
      </c>
      <c r="AI52" s="476">
        <f t="shared" si="4"/>
        <v>1098528.1299999999</v>
      </c>
      <c r="AJ52" s="537">
        <f t="shared" si="5"/>
        <v>1086107.1000000001</v>
      </c>
      <c r="AK52" s="476">
        <f t="shared" si="3"/>
        <v>75619.529999999562</v>
      </c>
      <c r="AL52" s="479" t="s">
        <v>457</v>
      </c>
      <c r="AM52" s="688"/>
      <c r="AN52" s="555"/>
      <c r="AO52" s="688"/>
      <c r="AP52" s="688"/>
      <c r="AQ52" s="688"/>
      <c r="AR52" s="688"/>
      <c r="AS52" s="688"/>
      <c r="AT52" s="688"/>
      <c r="AU52" s="688"/>
      <c r="AV52" s="688"/>
      <c r="AW52" s="688"/>
      <c r="AX52" s="688"/>
      <c r="AY52" s="688"/>
      <c r="AZ52" s="688"/>
      <c r="BA52" s="688"/>
    </row>
    <row r="53" spans="1:53" s="538" customFormat="1" ht="19" thickBot="1" x14ac:dyDescent="0.5">
      <c r="A53" s="689" t="s">
        <v>59</v>
      </c>
      <c r="B53" s="474">
        <f>'2016-2017'!AH49</f>
        <v>234853.21999999997</v>
      </c>
      <c r="C53" s="475">
        <v>146221.57999999999</v>
      </c>
      <c r="D53" s="474"/>
      <c r="E53" s="481">
        <v>30322.270000000004</v>
      </c>
      <c r="F53" s="481"/>
      <c r="G53" s="539">
        <v>23576.79</v>
      </c>
      <c r="H53" s="481">
        <v>74027.320000000007</v>
      </c>
      <c r="I53" s="481">
        <v>16866.13</v>
      </c>
      <c r="J53" s="481"/>
      <c r="K53" s="482">
        <v>16850.099999999999</v>
      </c>
      <c r="L53" s="482"/>
      <c r="M53" s="482">
        <v>16174.41</v>
      </c>
      <c r="N53" s="482"/>
      <c r="O53" s="476">
        <v>7505</v>
      </c>
      <c r="P53" s="477"/>
      <c r="Q53" s="477">
        <v>8236.7099999999991</v>
      </c>
      <c r="R53" s="477"/>
      <c r="S53" s="477">
        <v>7505</v>
      </c>
      <c r="T53" s="477"/>
      <c r="U53" s="477">
        <v>7505</v>
      </c>
      <c r="V53" s="477"/>
      <c r="W53" s="477">
        <v>57866.69</v>
      </c>
      <c r="X53" s="477">
        <v>159852.04</v>
      </c>
      <c r="Y53" s="477">
        <v>17608.55</v>
      </c>
      <c r="Z53" s="477">
        <v>10103.549999999999</v>
      </c>
      <c r="AA53" s="477"/>
      <c r="AB53" s="477">
        <v>62964.69</v>
      </c>
      <c r="AC53" s="537"/>
      <c r="AD53" s="537"/>
      <c r="AE53" s="476">
        <f t="shared" si="2"/>
        <v>117630.06999999998</v>
      </c>
      <c r="AF53" s="558"/>
      <c r="AG53" s="476">
        <v>234853.21999999997</v>
      </c>
      <c r="AH53" s="475">
        <v>146221.57999999999</v>
      </c>
      <c r="AI53" s="476">
        <f t="shared" si="4"/>
        <v>272981.33999999997</v>
      </c>
      <c r="AJ53" s="537">
        <f t="shared" si="5"/>
        <v>243982.91</v>
      </c>
      <c r="AK53" s="476">
        <f t="shared" si="3"/>
        <v>117630.06999999998</v>
      </c>
      <c r="AL53" s="479" t="s">
        <v>457</v>
      </c>
      <c r="AM53" s="688"/>
      <c r="AN53" s="555"/>
      <c r="AO53" s="688"/>
      <c r="AP53" s="688"/>
      <c r="AQ53" s="688"/>
      <c r="AR53" s="688"/>
      <c r="AS53" s="688"/>
      <c r="AT53" s="688"/>
      <c r="AU53" s="688"/>
      <c r="AV53" s="688"/>
      <c r="AW53" s="688"/>
      <c r="AX53" s="688"/>
      <c r="AY53" s="688"/>
      <c r="AZ53" s="688"/>
      <c r="BA53" s="688"/>
    </row>
    <row r="54" spans="1:53" s="538" customFormat="1" ht="19" thickBot="1" x14ac:dyDescent="0.5">
      <c r="A54" s="689" t="s">
        <v>365</v>
      </c>
      <c r="B54" s="474">
        <f>'2016-2017'!AH50</f>
        <v>247125.54000000004</v>
      </c>
      <c r="C54" s="645">
        <v>205989.31</v>
      </c>
      <c r="D54" s="474"/>
      <c r="E54" s="481">
        <v>168877.37</v>
      </c>
      <c r="F54" s="481">
        <f>41137.23+168876.37</f>
        <v>210013.6</v>
      </c>
      <c r="G54" s="539">
        <v>173731.85</v>
      </c>
      <c r="H54" s="481"/>
      <c r="I54" s="481">
        <v>175911.53</v>
      </c>
      <c r="J54" s="481">
        <f>173731.85+175911.53</f>
        <v>349643.38</v>
      </c>
      <c r="K54" s="482">
        <v>170532.82</v>
      </c>
      <c r="L54" s="482">
        <f>170532.82</f>
        <v>170532.82</v>
      </c>
      <c r="M54" s="482">
        <v>171403.33000000002</v>
      </c>
      <c r="N54" s="482">
        <v>171403.33</v>
      </c>
      <c r="O54" s="476">
        <v>135070.18</v>
      </c>
      <c r="P54" s="477"/>
      <c r="Q54" s="477">
        <v>217482.88</v>
      </c>
      <c r="R54" s="477">
        <f>135070.18+217482.88</f>
        <v>352553.06</v>
      </c>
      <c r="S54" s="477">
        <v>217238.40000000002</v>
      </c>
      <c r="T54" s="477"/>
      <c r="U54" s="477">
        <v>135849.74</v>
      </c>
      <c r="V54" s="477">
        <f>353088.14</f>
        <v>353088.14</v>
      </c>
      <c r="W54" s="477">
        <v>158100.1</v>
      </c>
      <c r="X54" s="477">
        <v>158100.1</v>
      </c>
      <c r="Y54" s="477">
        <v>184927.55</v>
      </c>
      <c r="Z54" s="461">
        <f>184927.55+139428.91</f>
        <v>324356.45999999996</v>
      </c>
      <c r="AA54" s="477"/>
      <c r="AB54" s="477">
        <v>193880.91</v>
      </c>
      <c r="AC54" s="537"/>
      <c r="AD54" s="537"/>
      <c r="AE54" s="476">
        <f t="shared" si="2"/>
        <v>54452.000000000087</v>
      </c>
      <c r="AF54" s="558"/>
      <c r="AG54" s="476">
        <v>247125.54000000004</v>
      </c>
      <c r="AH54" s="645">
        <v>205989.31</v>
      </c>
      <c r="AI54" s="476">
        <f t="shared" si="4"/>
        <v>2103006.66</v>
      </c>
      <c r="AJ54" s="537">
        <f t="shared" si="5"/>
        <v>2089690.8900000001</v>
      </c>
      <c r="AK54" s="476">
        <f t="shared" si="3"/>
        <v>54452</v>
      </c>
      <c r="AL54" s="479" t="s">
        <v>457</v>
      </c>
      <c r="AM54" s="688"/>
      <c r="AN54" s="555"/>
      <c r="AO54" s="688"/>
      <c r="AP54" s="688"/>
      <c r="AQ54" s="688"/>
      <c r="AR54" s="688"/>
      <c r="AS54" s="688"/>
      <c r="AT54" s="688"/>
      <c r="AU54" s="688"/>
      <c r="AV54" s="688"/>
      <c r="AW54" s="688"/>
      <c r="AX54" s="688"/>
      <c r="AY54" s="688"/>
      <c r="AZ54" s="688"/>
      <c r="BA54" s="688"/>
    </row>
    <row r="55" spans="1:53" s="538" customFormat="1" ht="19" thickBot="1" x14ac:dyDescent="0.5">
      <c r="A55" s="689" t="s">
        <v>82</v>
      </c>
      <c r="B55" s="474">
        <f>'2016-2017'!AH51</f>
        <v>1208772.6600000004</v>
      </c>
      <c r="C55" s="475">
        <v>1208772.6599999999</v>
      </c>
      <c r="D55" s="474"/>
      <c r="E55" s="481">
        <v>0</v>
      </c>
      <c r="F55" s="481"/>
      <c r="G55" s="539"/>
      <c r="H55" s="481"/>
      <c r="I55" s="481">
        <v>0</v>
      </c>
      <c r="J55" s="481"/>
      <c r="K55" s="482"/>
      <c r="L55" s="482"/>
      <c r="M55" s="482"/>
      <c r="N55" s="482"/>
      <c r="O55" s="476"/>
      <c r="P55" s="477"/>
      <c r="Q55" s="477"/>
      <c r="R55" s="477"/>
      <c r="S55" s="477"/>
      <c r="T55" s="477"/>
      <c r="U55" s="477"/>
      <c r="V55" s="477"/>
      <c r="W55" s="477">
        <v>0</v>
      </c>
      <c r="X55" s="477"/>
      <c r="Y55" s="477"/>
      <c r="Z55" s="477"/>
      <c r="AA55" s="477"/>
      <c r="AB55" s="477">
        <v>0</v>
      </c>
      <c r="AC55" s="537"/>
      <c r="AD55" s="537"/>
      <c r="AE55" s="476">
        <f t="shared" si="2"/>
        <v>4.6566128730773926E-10</v>
      </c>
      <c r="AF55" s="558"/>
      <c r="AG55" s="476">
        <v>1208772.6600000004</v>
      </c>
      <c r="AH55" s="475">
        <v>1208772.6599999999</v>
      </c>
      <c r="AI55" s="476">
        <f t="shared" si="4"/>
        <v>0</v>
      </c>
      <c r="AJ55" s="537">
        <f t="shared" si="5"/>
        <v>0</v>
      </c>
      <c r="AK55" s="476">
        <f t="shared" si="3"/>
        <v>4.6566128730773926E-10</v>
      </c>
      <c r="AL55" s="479" t="s">
        <v>458</v>
      </c>
      <c r="AM55" s="688"/>
      <c r="AN55" s="555"/>
      <c r="AO55" s="688"/>
      <c r="AP55" s="688"/>
      <c r="AQ55" s="688"/>
      <c r="AR55" s="688"/>
      <c r="AS55" s="688"/>
      <c r="AT55" s="688"/>
      <c r="AU55" s="688"/>
      <c r="AV55" s="688"/>
      <c r="AW55" s="688"/>
      <c r="AX55" s="688"/>
      <c r="AY55" s="688"/>
      <c r="AZ55" s="688"/>
      <c r="BA55" s="688"/>
    </row>
    <row r="56" spans="1:53" s="538" customFormat="1" ht="19" thickBot="1" x14ac:dyDescent="0.5">
      <c r="A56" s="689" t="s">
        <v>75</v>
      </c>
      <c r="B56" s="474">
        <f>'2016-2017'!AH52</f>
        <v>1922528.8900000015</v>
      </c>
      <c r="C56" s="475"/>
      <c r="D56" s="474">
        <f>214848.58+465052.18</f>
        <v>679900.76</v>
      </c>
      <c r="E56" s="481">
        <v>234204.27</v>
      </c>
      <c r="F56" s="481">
        <f>99885.19+139202.26+234204.27</f>
        <v>473291.72</v>
      </c>
      <c r="G56" s="539">
        <v>255211.56</v>
      </c>
      <c r="H56" s="481"/>
      <c r="I56" s="481">
        <v>201168.29</v>
      </c>
      <c r="J56" s="481">
        <v>201168.29</v>
      </c>
      <c r="K56" s="482">
        <v>216949.35</v>
      </c>
      <c r="L56" s="482">
        <f>175597.87+255211.56</f>
        <v>430809.43</v>
      </c>
      <c r="M56" s="482">
        <v>397689.18999999994</v>
      </c>
      <c r="N56" s="482"/>
      <c r="O56" s="476">
        <v>111430.6</v>
      </c>
      <c r="P56" s="477">
        <v>397689.19</v>
      </c>
      <c r="Q56" s="477">
        <v>299549.86000000004</v>
      </c>
      <c r="R56" s="477"/>
      <c r="S56" s="477">
        <v>228730.32</v>
      </c>
      <c r="T56" s="477">
        <v>203752.16</v>
      </c>
      <c r="U56" s="477">
        <v>152735.1</v>
      </c>
      <c r="V56" s="477"/>
      <c r="W56" s="477">
        <v>206209.54</v>
      </c>
      <c r="X56" s="477">
        <v>694735.8</v>
      </c>
      <c r="Y56" s="477">
        <v>294246.75</v>
      </c>
      <c r="Z56" s="477"/>
      <c r="AA56" s="477"/>
      <c r="AB56" s="477">
        <v>447683.86</v>
      </c>
      <c r="AC56" s="537"/>
      <c r="AD56" s="537"/>
      <c r="AE56" s="476">
        <f t="shared" si="2"/>
        <v>1886990.2300000023</v>
      </c>
      <c r="AF56" s="558"/>
      <c r="AG56" s="476">
        <v>1922528.8900000015</v>
      </c>
      <c r="AH56" s="475"/>
      <c r="AI56" s="476">
        <f t="shared" si="4"/>
        <v>3045808.69</v>
      </c>
      <c r="AJ56" s="537">
        <f t="shared" si="5"/>
        <v>3081347.3500000006</v>
      </c>
      <c r="AK56" s="476">
        <f t="shared" si="3"/>
        <v>1886990.2300000014</v>
      </c>
      <c r="AL56" s="479" t="s">
        <v>458</v>
      </c>
      <c r="AM56" s="688"/>
      <c r="AN56" s="555"/>
      <c r="AO56" s="688"/>
      <c r="AP56" s="688"/>
      <c r="AQ56" s="688"/>
      <c r="AR56" s="688"/>
      <c r="AS56" s="688"/>
      <c r="AT56" s="688"/>
      <c r="AU56" s="688"/>
      <c r="AV56" s="688"/>
      <c r="AW56" s="688"/>
      <c r="AX56" s="688"/>
      <c r="AY56" s="688"/>
      <c r="AZ56" s="688"/>
      <c r="BA56" s="688"/>
    </row>
    <row r="57" spans="1:53" s="538" customFormat="1" ht="19" thickBot="1" x14ac:dyDescent="0.5">
      <c r="A57" s="689" t="s">
        <v>84</v>
      </c>
      <c r="B57" s="474">
        <f>'2016-2017'!AH53</f>
        <v>-5959.0299999996205</v>
      </c>
      <c r="C57" s="475"/>
      <c r="D57" s="474"/>
      <c r="E57" s="481">
        <v>0</v>
      </c>
      <c r="F57" s="481"/>
      <c r="G57" s="539"/>
      <c r="H57" s="481"/>
      <c r="I57" s="481">
        <v>0</v>
      </c>
      <c r="J57" s="481"/>
      <c r="K57" s="482"/>
      <c r="L57" s="482"/>
      <c r="M57" s="482"/>
      <c r="N57" s="482"/>
      <c r="O57" s="476"/>
      <c r="P57" s="477"/>
      <c r="Q57" s="477"/>
      <c r="R57" s="477"/>
      <c r="S57" s="477"/>
      <c r="T57" s="477"/>
      <c r="U57" s="477"/>
      <c r="V57" s="477"/>
      <c r="W57" s="477">
        <v>0</v>
      </c>
      <c r="X57" s="477"/>
      <c r="Y57" s="477"/>
      <c r="Z57" s="477"/>
      <c r="AA57" s="477"/>
      <c r="AB57" s="477">
        <v>0</v>
      </c>
      <c r="AC57" s="537"/>
      <c r="AD57" s="537"/>
      <c r="AE57" s="476">
        <f t="shared" si="2"/>
        <v>-5959.0299999996205</v>
      </c>
      <c r="AF57" s="558"/>
      <c r="AG57" s="476">
        <v>-5959.0299999996205</v>
      </c>
      <c r="AH57" s="475"/>
      <c r="AI57" s="476">
        <f t="shared" si="4"/>
        <v>0</v>
      </c>
      <c r="AJ57" s="537">
        <f t="shared" si="5"/>
        <v>0</v>
      </c>
      <c r="AK57" s="476">
        <f t="shared" si="3"/>
        <v>-5959.0299999996205</v>
      </c>
      <c r="AL57" s="479" t="s">
        <v>458</v>
      </c>
      <c r="AM57" s="688"/>
      <c r="AN57" s="555"/>
      <c r="AO57" s="688"/>
      <c r="AP57" s="688"/>
      <c r="AQ57" s="688"/>
      <c r="AR57" s="688"/>
      <c r="AS57" s="688"/>
      <c r="AT57" s="688"/>
      <c r="AU57" s="688"/>
      <c r="AV57" s="688"/>
      <c r="AW57" s="688"/>
      <c r="AX57" s="688"/>
      <c r="AY57" s="688"/>
      <c r="AZ57" s="688"/>
      <c r="BA57" s="688"/>
    </row>
    <row r="58" spans="1:53" s="538" customFormat="1" ht="19" thickBot="1" x14ac:dyDescent="0.5">
      <c r="A58" s="689" t="s">
        <v>68</v>
      </c>
      <c r="B58" s="474">
        <f>'2016-2017'!AH54</f>
        <v>28980.299999999581</v>
      </c>
      <c r="C58" s="475"/>
      <c r="D58" s="474">
        <v>52018.11</v>
      </c>
      <c r="E58" s="481">
        <v>181538.5</v>
      </c>
      <c r="F58" s="481">
        <v>181538.5</v>
      </c>
      <c r="G58" s="539">
        <v>189213.18</v>
      </c>
      <c r="H58" s="481"/>
      <c r="I58" s="481">
        <v>189681.72</v>
      </c>
      <c r="J58" s="481">
        <v>189213.18</v>
      </c>
      <c r="K58" s="482">
        <v>183713.67</v>
      </c>
      <c r="L58" s="482"/>
      <c r="M58" s="482">
        <v>192331</v>
      </c>
      <c r="N58" s="482">
        <f>183713.67+189681.72+192331</f>
        <v>565726.39</v>
      </c>
      <c r="O58" s="476">
        <v>126942.47</v>
      </c>
      <c r="P58" s="477"/>
      <c r="Q58" s="477">
        <v>229927.72</v>
      </c>
      <c r="R58" s="477">
        <v>356870.19</v>
      </c>
      <c r="S58" s="477">
        <v>215801.17</v>
      </c>
      <c r="T58" s="477"/>
      <c r="U58" s="477">
        <v>133103.06</v>
      </c>
      <c r="V58" s="477">
        <v>112389.53</v>
      </c>
      <c r="W58" s="477">
        <v>332012.06</v>
      </c>
      <c r="X58" s="477">
        <v>133103.06</v>
      </c>
      <c r="Y58" s="477">
        <v>254417.02</v>
      </c>
      <c r="Z58" s="579">
        <v>689840.72</v>
      </c>
      <c r="AA58" s="477"/>
      <c r="AB58" s="477">
        <v>276383.43</v>
      </c>
      <c r="AC58" s="537"/>
      <c r="AD58" s="537"/>
      <c r="AE58" s="476">
        <f t="shared" si="2"/>
        <v>253345.61999999959</v>
      </c>
      <c r="AF58" s="558"/>
      <c r="AG58" s="476">
        <v>28980.299999999581</v>
      </c>
      <c r="AH58" s="475"/>
      <c r="AI58" s="476">
        <f t="shared" si="4"/>
        <v>2505065</v>
      </c>
      <c r="AJ58" s="537">
        <f t="shared" si="5"/>
        <v>2280699.6799999997</v>
      </c>
      <c r="AK58" s="476">
        <f t="shared" si="3"/>
        <v>253345.62000000011</v>
      </c>
      <c r="AL58" s="479" t="s">
        <v>457</v>
      </c>
      <c r="AM58" s="688"/>
      <c r="AN58" s="555"/>
      <c r="AO58" s="688"/>
      <c r="AP58" s="688"/>
      <c r="AQ58" s="688"/>
      <c r="AR58" s="688"/>
      <c r="AS58" s="688"/>
      <c r="AT58" s="688"/>
      <c r="AU58" s="688"/>
      <c r="AV58" s="688"/>
      <c r="AW58" s="688"/>
      <c r="AX58" s="688"/>
      <c r="AY58" s="688"/>
      <c r="AZ58" s="688"/>
      <c r="BA58" s="688"/>
    </row>
    <row r="59" spans="1:53" s="538" customFormat="1" ht="19" thickBot="1" x14ac:dyDescent="0.5">
      <c r="A59" s="689" t="s">
        <v>51</v>
      </c>
      <c r="B59" s="474">
        <f>'2016-2017'!AH55</f>
        <v>1233859.3000000003</v>
      </c>
      <c r="C59" s="475">
        <v>49104</v>
      </c>
      <c r="D59" s="474">
        <f>229152</f>
        <v>229152</v>
      </c>
      <c r="E59" s="481">
        <v>213587.34</v>
      </c>
      <c r="F59" s="481"/>
      <c r="G59" s="539">
        <v>181150.91</v>
      </c>
      <c r="H59" s="481"/>
      <c r="I59" s="481">
        <v>49907.34</v>
      </c>
      <c r="J59" s="481">
        <f>229152+212784</f>
        <v>441936</v>
      </c>
      <c r="K59" s="482">
        <v>42022.91</v>
      </c>
      <c r="L59" s="482"/>
      <c r="M59" s="482">
        <v>42022.91</v>
      </c>
      <c r="N59" s="482">
        <f>32736</f>
        <v>32736</v>
      </c>
      <c r="O59" s="476"/>
      <c r="P59" s="477">
        <v>433752</v>
      </c>
      <c r="Q59" s="477"/>
      <c r="R59" s="477"/>
      <c r="S59" s="477"/>
      <c r="T59" s="477"/>
      <c r="U59" s="477"/>
      <c r="V59" s="477"/>
      <c r="W59" s="477">
        <v>0</v>
      </c>
      <c r="X59" s="477"/>
      <c r="Y59" s="477"/>
      <c r="Z59" s="477"/>
      <c r="AA59" s="477"/>
      <c r="AB59" s="477">
        <v>0</v>
      </c>
      <c r="AC59" s="537"/>
      <c r="AD59" s="537"/>
      <c r="AE59" s="476">
        <f t="shared" si="2"/>
        <v>575870.71000000043</v>
      </c>
      <c r="AF59" s="558"/>
      <c r="AG59" s="476">
        <v>1233859.3000000003</v>
      </c>
      <c r="AH59" s="475">
        <v>49104</v>
      </c>
      <c r="AI59" s="476">
        <f t="shared" si="4"/>
        <v>528691.41</v>
      </c>
      <c r="AJ59" s="537">
        <f t="shared" si="5"/>
        <v>1137576</v>
      </c>
      <c r="AK59" s="476">
        <f t="shared" si="3"/>
        <v>575870.71000000043</v>
      </c>
      <c r="AL59" s="479" t="s">
        <v>457</v>
      </c>
      <c r="AM59" s="688"/>
      <c r="AN59" s="555"/>
      <c r="AO59" s="688"/>
      <c r="AP59" s="688"/>
      <c r="AQ59" s="688"/>
      <c r="AR59" s="688"/>
      <c r="AS59" s="688"/>
      <c r="AT59" s="688"/>
      <c r="AU59" s="688"/>
      <c r="AV59" s="688"/>
      <c r="AW59" s="688"/>
      <c r="AX59" s="688"/>
      <c r="AY59" s="688"/>
      <c r="AZ59" s="688"/>
      <c r="BA59" s="688"/>
    </row>
    <row r="60" spans="1:53" s="538" customFormat="1" ht="19" thickBot="1" x14ac:dyDescent="0.5">
      <c r="A60" s="689" t="s">
        <v>366</v>
      </c>
      <c r="B60" s="474">
        <f>'2016-2017'!AH56</f>
        <v>346300.94999999995</v>
      </c>
      <c r="C60" s="475">
        <v>26782.42</v>
      </c>
      <c r="D60" s="474"/>
      <c r="E60" s="481">
        <v>100732.98000000001</v>
      </c>
      <c r="F60" s="481">
        <f>332815.53</f>
        <v>332815.53000000003</v>
      </c>
      <c r="G60" s="539">
        <v>119120.86</v>
      </c>
      <c r="H60" s="481">
        <v>100732.98</v>
      </c>
      <c r="I60" s="481">
        <v>120446.9</v>
      </c>
      <c r="J60" s="481">
        <f>119120.86+120446.9</f>
        <v>239567.76</v>
      </c>
      <c r="K60" s="482">
        <v>129436.75</v>
      </c>
      <c r="L60" s="482">
        <v>129436.75</v>
      </c>
      <c r="M60" s="482">
        <v>117505.8</v>
      </c>
      <c r="N60" s="482">
        <v>117505.8</v>
      </c>
      <c r="O60" s="476">
        <v>65838.62</v>
      </c>
      <c r="P60" s="477"/>
      <c r="Q60" s="477">
        <v>138484.91999999998</v>
      </c>
      <c r="R60" s="477">
        <v>204323.54</v>
      </c>
      <c r="S60" s="477">
        <v>299081.76</v>
      </c>
      <c r="T60" s="477"/>
      <c r="U60" s="477">
        <v>362233.81</v>
      </c>
      <c r="V60" s="477">
        <f>299081.76</f>
        <v>299081.76</v>
      </c>
      <c r="W60" s="477">
        <v>245876.06</v>
      </c>
      <c r="X60" s="477">
        <v>601304.68000000005</v>
      </c>
      <c r="Y60" s="477">
        <v>249202.96000000002</v>
      </c>
      <c r="Z60" s="477">
        <f>6805.19+249202.96</f>
        <v>256008.15</v>
      </c>
      <c r="AA60" s="477"/>
      <c r="AB60" s="477">
        <v>436449.26</v>
      </c>
      <c r="AC60" s="537"/>
      <c r="AD60" s="537"/>
      <c r="AE60" s="476">
        <f t="shared" si="2"/>
        <v>423152.25999999989</v>
      </c>
      <c r="AF60" s="558"/>
      <c r="AG60" s="476">
        <v>346300.94999999995</v>
      </c>
      <c r="AH60" s="475">
        <v>26782.42</v>
      </c>
      <c r="AI60" s="476">
        <f t="shared" si="4"/>
        <v>2384410.6800000002</v>
      </c>
      <c r="AJ60" s="537">
        <f t="shared" si="5"/>
        <v>2280776.9500000002</v>
      </c>
      <c r="AK60" s="476">
        <f t="shared" si="3"/>
        <v>423152.25999999978</v>
      </c>
      <c r="AL60" s="479" t="s">
        <v>457</v>
      </c>
      <c r="AM60" s="688"/>
      <c r="AN60" s="555"/>
      <c r="AO60" s="688"/>
      <c r="AP60" s="688"/>
      <c r="AQ60" s="688"/>
      <c r="AR60" s="688"/>
      <c r="AS60" s="688"/>
      <c r="AT60" s="688"/>
      <c r="AU60" s="688"/>
      <c r="AV60" s="688"/>
      <c r="AW60" s="688"/>
      <c r="AX60" s="688"/>
      <c r="AY60" s="688"/>
      <c r="AZ60" s="688"/>
      <c r="BA60" s="688"/>
    </row>
    <row r="61" spans="1:53" s="538" customFormat="1" ht="19" thickBot="1" x14ac:dyDescent="0.5">
      <c r="A61" s="689" t="s">
        <v>77</v>
      </c>
      <c r="B61" s="474">
        <f>'2016-2017'!AH57</f>
        <v>703874.9099999998</v>
      </c>
      <c r="C61" s="475">
        <v>1235844.6299999999</v>
      </c>
      <c r="D61" s="474"/>
      <c r="E61" s="481">
        <v>51043.990000000005</v>
      </c>
      <c r="F61" s="481"/>
      <c r="G61" s="539">
        <v>58623.66</v>
      </c>
      <c r="H61" s="481"/>
      <c r="I61" s="481">
        <v>51188.5</v>
      </c>
      <c r="J61" s="481"/>
      <c r="K61" s="482">
        <v>50834.340000000004</v>
      </c>
      <c r="L61" s="482"/>
      <c r="M61" s="482">
        <v>48777.15</v>
      </c>
      <c r="N61" s="482"/>
      <c r="O61" s="476">
        <v>30723.11</v>
      </c>
      <c r="P61" s="477"/>
      <c r="Q61" s="477">
        <v>62971.159999999996</v>
      </c>
      <c r="R61" s="477"/>
      <c r="S61" s="477">
        <v>43890.15</v>
      </c>
      <c r="T61" s="477"/>
      <c r="U61" s="477">
        <v>45353.16</v>
      </c>
      <c r="V61" s="477"/>
      <c r="W61" s="477">
        <v>46607.16</v>
      </c>
      <c r="X61" s="477"/>
      <c r="Y61" s="477">
        <v>41957.34</v>
      </c>
      <c r="Z61" s="477"/>
      <c r="AA61" s="477"/>
      <c r="AB61" s="477">
        <v>-35689.800000000003</v>
      </c>
      <c r="AC61" s="537"/>
      <c r="AD61" s="537"/>
      <c r="AE61" s="476">
        <f t="shared" si="2"/>
        <v>-35689.800000000032</v>
      </c>
      <c r="AF61" s="558"/>
      <c r="AG61" s="476">
        <v>703874.9099999998</v>
      </c>
      <c r="AH61" s="475">
        <v>1235844.6299999999</v>
      </c>
      <c r="AI61" s="476">
        <f t="shared" si="4"/>
        <v>496279.92</v>
      </c>
      <c r="AJ61" s="537">
        <f t="shared" si="5"/>
        <v>0</v>
      </c>
      <c r="AK61" s="476">
        <f t="shared" si="3"/>
        <v>-35689.800000000105</v>
      </c>
      <c r="AL61" s="479" t="s">
        <v>458</v>
      </c>
      <c r="AM61" s="688"/>
      <c r="AN61" s="555"/>
      <c r="AO61" s="688"/>
      <c r="AP61" s="688"/>
      <c r="AQ61" s="688"/>
      <c r="AR61" s="688"/>
      <c r="AS61" s="688"/>
      <c r="AT61" s="688"/>
      <c r="AU61" s="688"/>
      <c r="AV61" s="688"/>
      <c r="AW61" s="688"/>
      <c r="AX61" s="688"/>
      <c r="AY61" s="688"/>
      <c r="AZ61" s="688"/>
      <c r="BA61" s="688"/>
    </row>
    <row r="62" spans="1:53" s="538" customFormat="1" ht="19" thickBot="1" x14ac:dyDescent="0.5">
      <c r="A62" s="689" t="s">
        <v>56</v>
      </c>
      <c r="B62" s="474">
        <f>'2016-2017'!AH58</f>
        <v>1041934.0899999999</v>
      </c>
      <c r="C62" s="475">
        <v>1442774.09</v>
      </c>
      <c r="D62" s="474"/>
      <c r="E62" s="481">
        <v>36440</v>
      </c>
      <c r="F62" s="481"/>
      <c r="G62" s="539">
        <v>36440</v>
      </c>
      <c r="H62" s="481"/>
      <c r="I62" s="481">
        <v>36440</v>
      </c>
      <c r="J62" s="481"/>
      <c r="K62" s="482">
        <v>36440</v>
      </c>
      <c r="L62" s="482"/>
      <c r="M62" s="482">
        <v>36440</v>
      </c>
      <c r="N62" s="482"/>
      <c r="O62" s="476"/>
      <c r="P62" s="477"/>
      <c r="Q62" s="477">
        <v>72880</v>
      </c>
      <c r="R62" s="477"/>
      <c r="S62" s="477">
        <v>36440</v>
      </c>
      <c r="T62" s="477"/>
      <c r="U62" s="477">
        <v>36440</v>
      </c>
      <c r="V62" s="477"/>
      <c r="W62" s="477">
        <v>36440</v>
      </c>
      <c r="X62" s="477"/>
      <c r="Y62" s="477">
        <v>36440</v>
      </c>
      <c r="Z62" s="477"/>
      <c r="AA62" s="477"/>
      <c r="AB62" s="477">
        <v>36440</v>
      </c>
      <c r="AC62" s="537"/>
      <c r="AD62" s="537"/>
      <c r="AE62" s="476">
        <f t="shared" si="2"/>
        <v>36439.999999999767</v>
      </c>
      <c r="AF62" s="558"/>
      <c r="AG62" s="476">
        <v>1041934.0899999999</v>
      </c>
      <c r="AH62" s="475">
        <v>1442774.09</v>
      </c>
      <c r="AI62" s="476">
        <f t="shared" si="4"/>
        <v>437280</v>
      </c>
      <c r="AJ62" s="537">
        <f t="shared" si="5"/>
        <v>0</v>
      </c>
      <c r="AK62" s="476">
        <f t="shared" si="3"/>
        <v>36439.999999999767</v>
      </c>
      <c r="AL62" s="479" t="s">
        <v>458</v>
      </c>
      <c r="AM62" s="688"/>
      <c r="AN62" s="555"/>
      <c r="AO62" s="688"/>
      <c r="AP62" s="688"/>
      <c r="AQ62" s="688"/>
      <c r="AR62" s="688"/>
      <c r="AS62" s="688"/>
      <c r="AT62" s="688"/>
      <c r="AU62" s="688"/>
      <c r="AV62" s="688"/>
      <c r="AW62" s="688"/>
      <c r="AX62" s="688"/>
      <c r="AY62" s="688"/>
      <c r="AZ62" s="688"/>
      <c r="BA62" s="688"/>
    </row>
    <row r="63" spans="1:53" s="538" customFormat="1" ht="19" thickBot="1" x14ac:dyDescent="0.5">
      <c r="A63" s="689" t="s">
        <v>66</v>
      </c>
      <c r="B63" s="474">
        <f>'2016-2017'!AH59</f>
        <v>80303.310000000056</v>
      </c>
      <c r="C63" s="475">
        <v>5923.08</v>
      </c>
      <c r="D63" s="474">
        <v>74380.03</v>
      </c>
      <c r="E63" s="481">
        <v>158429.47</v>
      </c>
      <c r="F63" s="481">
        <f>158429.47</f>
        <v>158429.47</v>
      </c>
      <c r="G63" s="539">
        <v>152212.42000000001</v>
      </c>
      <c r="H63" s="481"/>
      <c r="I63" s="481">
        <v>202682.74000000002</v>
      </c>
      <c r="J63" s="481">
        <f>354895.16</f>
        <v>354895.16</v>
      </c>
      <c r="K63" s="482">
        <v>172391.56</v>
      </c>
      <c r="L63" s="482"/>
      <c r="M63" s="482">
        <v>183153.09</v>
      </c>
      <c r="N63" s="482">
        <v>355544.65</v>
      </c>
      <c r="O63" s="476"/>
      <c r="P63" s="477"/>
      <c r="Q63" s="477">
        <v>401546.5</v>
      </c>
      <c r="R63" s="477"/>
      <c r="S63" s="477">
        <v>348615.37</v>
      </c>
      <c r="T63" s="477">
        <v>401546.5</v>
      </c>
      <c r="U63" s="477">
        <v>52685.880000000005</v>
      </c>
      <c r="V63" s="477"/>
      <c r="W63" s="477">
        <v>137531.21</v>
      </c>
      <c r="X63" s="477">
        <v>401301.25</v>
      </c>
      <c r="Y63" s="477">
        <v>241312.94</v>
      </c>
      <c r="Z63" s="477"/>
      <c r="AA63" s="477"/>
      <c r="AB63" s="477">
        <v>168879.39</v>
      </c>
      <c r="AC63" s="537"/>
      <c r="AD63" s="537"/>
      <c r="AE63" s="476">
        <f t="shared" si="2"/>
        <v>547723.74</v>
      </c>
      <c r="AF63" s="558"/>
      <c r="AG63" s="476">
        <v>80303.310000000056</v>
      </c>
      <c r="AH63" s="475">
        <v>5923.08</v>
      </c>
      <c r="AI63" s="476">
        <f t="shared" si="4"/>
        <v>2219440.5699999998</v>
      </c>
      <c r="AJ63" s="537">
        <f t="shared" si="5"/>
        <v>1746097.06</v>
      </c>
      <c r="AK63" s="476">
        <f t="shared" si="3"/>
        <v>547723.73999999976</v>
      </c>
      <c r="AL63" s="479" t="s">
        <v>457</v>
      </c>
      <c r="AM63" s="688"/>
      <c r="AN63" s="555"/>
      <c r="AO63" s="688"/>
      <c r="AP63" s="688"/>
      <c r="AQ63" s="688"/>
      <c r="AR63" s="688"/>
      <c r="AS63" s="688"/>
      <c r="AT63" s="688"/>
      <c r="AU63" s="688"/>
      <c r="AV63" s="688"/>
      <c r="AW63" s="688"/>
      <c r="AX63" s="688"/>
      <c r="AY63" s="688"/>
      <c r="AZ63" s="688"/>
      <c r="BA63" s="688"/>
    </row>
    <row r="64" spans="1:53" s="72" customFormat="1" ht="19" thickBot="1" x14ac:dyDescent="0.5">
      <c r="A64" s="689" t="s">
        <v>367</v>
      </c>
      <c r="B64" s="474">
        <f>'2016-2017'!AH60</f>
        <v>286369.09999999986</v>
      </c>
      <c r="C64" s="475">
        <v>274438.56</v>
      </c>
      <c r="D64" s="474"/>
      <c r="E64" s="481">
        <v>220863.57</v>
      </c>
      <c r="F64" s="481">
        <f>11930.54+220863.57</f>
        <v>232794.11000000002</v>
      </c>
      <c r="G64" s="539">
        <v>171087.96</v>
      </c>
      <c r="H64" s="481"/>
      <c r="I64" s="481">
        <v>175341.85</v>
      </c>
      <c r="J64" s="481">
        <f>171087.96+175341.85</f>
        <v>346429.81</v>
      </c>
      <c r="K64" s="477">
        <v>129748.25</v>
      </c>
      <c r="L64" s="482">
        <v>129748.25</v>
      </c>
      <c r="M64" s="482">
        <v>135293.82</v>
      </c>
      <c r="N64" s="482"/>
      <c r="O64" s="476">
        <v>156027</v>
      </c>
      <c r="P64" s="477">
        <v>135293.82</v>
      </c>
      <c r="Q64" s="477">
        <v>417181.20999999996</v>
      </c>
      <c r="R64" s="477">
        <v>156027</v>
      </c>
      <c r="S64" s="477">
        <v>247070.32</v>
      </c>
      <c r="T64" s="477">
        <v>626055.97</v>
      </c>
      <c r="U64" s="477">
        <v>160663.97999999998</v>
      </c>
      <c r="V64" s="477"/>
      <c r="W64" s="477">
        <v>172210.5</v>
      </c>
      <c r="X64" s="477">
        <v>160663.98000000001</v>
      </c>
      <c r="Y64" s="477">
        <v>193916.82</v>
      </c>
      <c r="Z64" s="477">
        <f>172210.5+193916.82</f>
        <v>366127.32</v>
      </c>
      <c r="AA64" s="477"/>
      <c r="AB64" s="477">
        <v>212816.58000000002</v>
      </c>
      <c r="AC64" s="537"/>
      <c r="AD64" s="537"/>
      <c r="AE64" s="476">
        <f t="shared" si="2"/>
        <v>251012.13999999978</v>
      </c>
      <c r="AF64" s="558"/>
      <c r="AG64" s="476">
        <v>286369.09999999986</v>
      </c>
      <c r="AH64" s="475">
        <v>274438.56</v>
      </c>
      <c r="AI64" s="476">
        <f t="shared" si="4"/>
        <v>2392221.86</v>
      </c>
      <c r="AJ64" s="537">
        <f t="shared" si="5"/>
        <v>2153140.2599999998</v>
      </c>
      <c r="AK64" s="476">
        <f t="shared" si="3"/>
        <v>251012.14000000013</v>
      </c>
      <c r="AL64" s="479" t="s">
        <v>457</v>
      </c>
      <c r="AM64" s="551"/>
      <c r="AN64" s="555"/>
      <c r="AO64" s="551"/>
      <c r="AP64" s="551"/>
      <c r="AQ64" s="551"/>
      <c r="AR64" s="551"/>
      <c r="AS64" s="551"/>
      <c r="AT64" s="551"/>
      <c r="AU64" s="551"/>
      <c r="AV64" s="551"/>
      <c r="AW64" s="551"/>
      <c r="AX64" s="551"/>
      <c r="AY64" s="551"/>
      <c r="AZ64" s="551"/>
      <c r="BA64" s="551"/>
    </row>
    <row r="65" spans="1:53" s="538" customFormat="1" ht="19" thickBot="1" x14ac:dyDescent="0.5">
      <c r="A65" s="689" t="s">
        <v>81</v>
      </c>
      <c r="B65" s="474">
        <f>'2016-2017'!AH61</f>
        <v>297482.37999999989</v>
      </c>
      <c r="C65" s="475">
        <v>213368.66</v>
      </c>
      <c r="D65" s="474"/>
      <c r="E65" s="481">
        <v>33857.479999999996</v>
      </c>
      <c r="F65" s="481"/>
      <c r="G65" s="539">
        <v>31407.01</v>
      </c>
      <c r="H65" s="481"/>
      <c r="I65" s="481">
        <v>33413.67</v>
      </c>
      <c r="J65" s="481"/>
      <c r="K65" s="482">
        <v>33273.18</v>
      </c>
      <c r="L65" s="482"/>
      <c r="M65" s="482">
        <v>35715.32</v>
      </c>
      <c r="N65" s="482"/>
      <c r="O65" s="476">
        <v>29637</v>
      </c>
      <c r="P65" s="477">
        <v>201584.67</v>
      </c>
      <c r="Q65" s="477">
        <v>38630.020000000004</v>
      </c>
      <c r="R65" s="477">
        <v>68267.02</v>
      </c>
      <c r="S65" s="477">
        <v>40143.26</v>
      </c>
      <c r="T65" s="477">
        <v>34894.129999999997</v>
      </c>
      <c r="U65" s="477">
        <v>28452.07</v>
      </c>
      <c r="V65" s="477"/>
      <c r="W65" s="477">
        <v>33336.120000000003</v>
      </c>
      <c r="X65" s="477">
        <v>67041.320000000007</v>
      </c>
      <c r="Y65" s="477">
        <v>38369.25</v>
      </c>
      <c r="Z65" s="477">
        <v>38369.25</v>
      </c>
      <c r="AA65" s="477"/>
      <c r="AB65" s="477">
        <v>42317.1</v>
      </c>
      <c r="AC65" s="537"/>
      <c r="AD65" s="537"/>
      <c r="AE65" s="476">
        <f t="shared" si="2"/>
        <v>92508.809999999881</v>
      </c>
      <c r="AF65" s="558"/>
      <c r="AG65" s="476">
        <v>297482.37999999989</v>
      </c>
      <c r="AH65" s="475">
        <v>213368.66</v>
      </c>
      <c r="AI65" s="476">
        <f t="shared" si="4"/>
        <v>418551.48</v>
      </c>
      <c r="AJ65" s="537">
        <f t="shared" si="5"/>
        <v>410156.39</v>
      </c>
      <c r="AK65" s="476">
        <f t="shared" si="3"/>
        <v>92508.809999999823</v>
      </c>
      <c r="AL65" s="479" t="s">
        <v>457</v>
      </c>
      <c r="AM65" s="688"/>
      <c r="AN65" s="555"/>
      <c r="AO65" s="688"/>
      <c r="AP65" s="688"/>
      <c r="AQ65" s="688"/>
      <c r="AR65" s="688"/>
      <c r="AS65" s="688"/>
      <c r="AT65" s="688"/>
      <c r="AU65" s="688"/>
      <c r="AV65" s="688"/>
      <c r="AW65" s="688"/>
      <c r="AX65" s="688"/>
      <c r="AY65" s="688"/>
      <c r="AZ65" s="688"/>
      <c r="BA65" s="688"/>
    </row>
    <row r="66" spans="1:53" s="538" customFormat="1" ht="19" thickBot="1" x14ac:dyDescent="0.5">
      <c r="A66" s="689" t="s">
        <v>87</v>
      </c>
      <c r="B66" s="474">
        <f>'2016-2017'!AH62</f>
        <v>210338.7</v>
      </c>
      <c r="C66" s="475">
        <v>210338.7</v>
      </c>
      <c r="D66" s="474"/>
      <c r="E66" s="481">
        <v>0</v>
      </c>
      <c r="F66" s="481"/>
      <c r="G66" s="539"/>
      <c r="H66" s="481"/>
      <c r="I66" s="481">
        <v>0</v>
      </c>
      <c r="J66" s="481"/>
      <c r="K66" s="482"/>
      <c r="L66" s="482"/>
      <c r="M66" s="482"/>
      <c r="N66" s="482"/>
      <c r="O66" s="476"/>
      <c r="P66" s="477"/>
      <c r="Q66" s="477"/>
      <c r="R66" s="477"/>
      <c r="S66" s="477"/>
      <c r="T66" s="477"/>
      <c r="U66" s="477"/>
      <c r="V66" s="477"/>
      <c r="W66" s="477">
        <v>0</v>
      </c>
      <c r="X66" s="477"/>
      <c r="Y66" s="477"/>
      <c r="Z66" s="477"/>
      <c r="AA66" s="477"/>
      <c r="AB66" s="477">
        <v>0</v>
      </c>
      <c r="AC66" s="537"/>
      <c r="AD66" s="537"/>
      <c r="AE66" s="476">
        <f t="shared" si="2"/>
        <v>0</v>
      </c>
      <c r="AF66" s="558"/>
      <c r="AG66" s="476">
        <v>210338.7</v>
      </c>
      <c r="AH66" s="475">
        <v>210338.7</v>
      </c>
      <c r="AI66" s="476">
        <f t="shared" si="4"/>
        <v>0</v>
      </c>
      <c r="AJ66" s="537">
        <f t="shared" si="5"/>
        <v>0</v>
      </c>
      <c r="AK66" s="476">
        <f t="shared" si="3"/>
        <v>0</v>
      </c>
      <c r="AL66" s="479" t="s">
        <v>458</v>
      </c>
      <c r="AM66" s="688"/>
      <c r="AN66" s="555"/>
      <c r="AO66" s="688"/>
      <c r="AP66" s="688"/>
      <c r="AQ66" s="688"/>
      <c r="AR66" s="688"/>
      <c r="AS66" s="688"/>
      <c r="AT66" s="688"/>
      <c r="AU66" s="688"/>
      <c r="AV66" s="688"/>
      <c r="AW66" s="688"/>
      <c r="AX66" s="688"/>
      <c r="AY66" s="688"/>
      <c r="AZ66" s="688"/>
      <c r="BA66" s="688"/>
    </row>
    <row r="67" spans="1:53" s="538" customFormat="1" ht="19" thickBot="1" x14ac:dyDescent="0.5">
      <c r="A67" s="689" t="s">
        <v>312</v>
      </c>
      <c r="B67" s="474">
        <f>'2016-2017'!AH63</f>
        <v>339657.72</v>
      </c>
      <c r="C67" s="475">
        <v>339657.72</v>
      </c>
      <c r="D67" s="474"/>
      <c r="E67" s="481">
        <v>0</v>
      </c>
      <c r="F67" s="481"/>
      <c r="G67" s="539"/>
      <c r="H67" s="481"/>
      <c r="I67" s="481">
        <v>0</v>
      </c>
      <c r="J67" s="481"/>
      <c r="K67" s="482"/>
      <c r="L67" s="482"/>
      <c r="M67" s="482"/>
      <c r="N67" s="482"/>
      <c r="O67" s="476"/>
      <c r="P67" s="477"/>
      <c r="Q67" s="477"/>
      <c r="R67" s="477"/>
      <c r="S67" s="477"/>
      <c r="T67" s="477"/>
      <c r="U67" s="477"/>
      <c r="V67" s="477"/>
      <c r="W67" s="477">
        <v>0</v>
      </c>
      <c r="X67" s="477"/>
      <c r="Y67" s="477"/>
      <c r="Z67" s="477"/>
      <c r="AA67" s="477"/>
      <c r="AB67" s="477">
        <v>0</v>
      </c>
      <c r="AC67" s="537"/>
      <c r="AD67" s="537"/>
      <c r="AE67" s="476">
        <f t="shared" si="2"/>
        <v>0</v>
      </c>
      <c r="AF67" s="558"/>
      <c r="AG67" s="476">
        <v>339657.72</v>
      </c>
      <c r="AH67" s="475">
        <v>339657.72</v>
      </c>
      <c r="AI67" s="476">
        <f t="shared" si="4"/>
        <v>0</v>
      </c>
      <c r="AJ67" s="537">
        <f t="shared" si="5"/>
        <v>0</v>
      </c>
      <c r="AK67" s="476">
        <f t="shared" si="3"/>
        <v>0</v>
      </c>
      <c r="AL67" s="479" t="s">
        <v>458</v>
      </c>
      <c r="AM67" s="688"/>
      <c r="AN67" s="555"/>
      <c r="AO67" s="688"/>
      <c r="AP67" s="688"/>
      <c r="AQ67" s="688"/>
      <c r="AR67" s="688"/>
      <c r="AS67" s="688"/>
      <c r="AT67" s="688"/>
      <c r="AU67" s="688"/>
      <c r="AV67" s="688"/>
      <c r="AW67" s="688"/>
      <c r="AX67" s="688"/>
      <c r="AY67" s="688"/>
      <c r="AZ67" s="688"/>
      <c r="BA67" s="688"/>
    </row>
    <row r="68" spans="1:53" s="538" customFormat="1" x14ac:dyDescent="0.45">
      <c r="A68" s="689" t="s">
        <v>48</v>
      </c>
      <c r="B68" s="474">
        <f>'2016-2017'!AH64</f>
        <v>-1157602.2900000007</v>
      </c>
      <c r="C68" s="475"/>
      <c r="D68" s="474"/>
      <c r="E68" s="481">
        <v>103675.25</v>
      </c>
      <c r="F68" s="481"/>
      <c r="G68" s="539">
        <v>91279.81</v>
      </c>
      <c r="H68" s="481"/>
      <c r="I68" s="481">
        <v>99604.52</v>
      </c>
      <c r="J68" s="481"/>
      <c r="K68" s="482">
        <v>104884.6</v>
      </c>
      <c r="L68" s="482"/>
      <c r="M68" s="482">
        <v>98310.35</v>
      </c>
      <c r="N68" s="482"/>
      <c r="O68" s="476">
        <v>80031</v>
      </c>
      <c r="P68" s="477"/>
      <c r="Q68" s="477">
        <v>146085.28</v>
      </c>
      <c r="R68" s="477"/>
      <c r="S68" s="477">
        <v>173475.49</v>
      </c>
      <c r="T68" s="477"/>
      <c r="U68" s="477">
        <v>99857.03</v>
      </c>
      <c r="V68" s="477"/>
      <c r="W68" s="477">
        <v>116049.29000000001</v>
      </c>
      <c r="X68" s="477"/>
      <c r="Y68" s="477">
        <v>557282.01</v>
      </c>
      <c r="Z68" s="477"/>
      <c r="AA68" s="477"/>
      <c r="AB68" s="477">
        <v>128667.98000000001</v>
      </c>
      <c r="AC68" s="537"/>
      <c r="AD68" s="537"/>
      <c r="AE68" s="476">
        <f t="shared" si="2"/>
        <v>641600.31999999937</v>
      </c>
      <c r="AF68" s="520"/>
      <c r="AG68" s="476">
        <v>-1157602.2900000007</v>
      </c>
      <c r="AH68" s="475"/>
      <c r="AI68" s="476">
        <f t="shared" si="4"/>
        <v>1799202.61</v>
      </c>
      <c r="AJ68" s="537">
        <f t="shared" si="5"/>
        <v>0</v>
      </c>
      <c r="AK68" s="476">
        <f t="shared" si="3"/>
        <v>641600.31999999937</v>
      </c>
      <c r="AL68" s="479" t="s">
        <v>457</v>
      </c>
      <c r="AM68" s="688"/>
      <c r="AN68" s="555"/>
      <c r="AO68" s="688"/>
      <c r="AP68" s="688"/>
      <c r="AQ68" s="688"/>
      <c r="AR68" s="688"/>
      <c r="AS68" s="688"/>
      <c r="AT68" s="688"/>
      <c r="AU68" s="688"/>
      <c r="AV68" s="688"/>
      <c r="AW68" s="688"/>
      <c r="AX68" s="688"/>
      <c r="AY68" s="688"/>
      <c r="AZ68" s="688"/>
      <c r="BA68" s="688"/>
    </row>
    <row r="69" spans="1:53" s="538" customFormat="1" x14ac:dyDescent="0.45">
      <c r="A69" s="689" t="s">
        <v>79</v>
      </c>
      <c r="B69" s="474">
        <f>'2016-2017'!AH65</f>
        <v>182653.97999999998</v>
      </c>
      <c r="C69" s="475">
        <v>182653.97999999998</v>
      </c>
      <c r="D69" s="474"/>
      <c r="E69" s="481">
        <v>0</v>
      </c>
      <c r="F69" s="481"/>
      <c r="G69" s="539"/>
      <c r="H69" s="481"/>
      <c r="I69" s="481">
        <v>0</v>
      </c>
      <c r="J69" s="481"/>
      <c r="K69" s="482"/>
      <c r="L69" s="482"/>
      <c r="M69" s="482"/>
      <c r="N69" s="482"/>
      <c r="O69" s="476"/>
      <c r="P69" s="477"/>
      <c r="Q69" s="477"/>
      <c r="R69" s="477"/>
      <c r="S69" s="477"/>
      <c r="T69" s="477"/>
      <c r="U69" s="477"/>
      <c r="V69" s="477"/>
      <c r="W69" s="477">
        <v>0</v>
      </c>
      <c r="X69" s="477"/>
      <c r="Y69" s="477"/>
      <c r="Z69" s="477"/>
      <c r="AA69" s="477"/>
      <c r="AB69" s="477">
        <v>0</v>
      </c>
      <c r="AC69" s="537"/>
      <c r="AD69" s="537"/>
      <c r="AE69" s="476">
        <f t="shared" si="2"/>
        <v>0</v>
      </c>
      <c r="AF69" s="520"/>
      <c r="AG69" s="476">
        <v>182653.97999999998</v>
      </c>
      <c r="AH69" s="475">
        <v>182653.97999999998</v>
      </c>
      <c r="AI69" s="476">
        <f t="shared" si="4"/>
        <v>0</v>
      </c>
      <c r="AJ69" s="537">
        <f t="shared" si="5"/>
        <v>0</v>
      </c>
      <c r="AK69" s="476">
        <f t="shared" si="3"/>
        <v>0</v>
      </c>
      <c r="AL69" s="479" t="s">
        <v>458</v>
      </c>
      <c r="AM69" s="688"/>
      <c r="AN69" s="555"/>
      <c r="AO69" s="688"/>
      <c r="AP69" s="688"/>
      <c r="AQ69" s="688"/>
      <c r="AR69" s="688"/>
      <c r="AS69" s="688"/>
      <c r="AT69" s="688"/>
      <c r="AU69" s="688"/>
      <c r="AV69" s="688"/>
      <c r="AW69" s="688"/>
      <c r="AX69" s="688"/>
      <c r="AY69" s="688"/>
      <c r="AZ69" s="688"/>
      <c r="BA69" s="688"/>
    </row>
    <row r="70" spans="1:53" s="538" customFormat="1" x14ac:dyDescent="0.45">
      <c r="A70" s="689" t="s">
        <v>93</v>
      </c>
      <c r="B70" s="474">
        <f>'2016-2017'!AH66</f>
        <v>143834.67000000001</v>
      </c>
      <c r="C70" s="475">
        <v>143834.67000000001</v>
      </c>
      <c r="D70" s="474"/>
      <c r="E70" s="481">
        <v>0</v>
      </c>
      <c r="F70" s="481"/>
      <c r="G70" s="539"/>
      <c r="H70" s="481"/>
      <c r="I70" s="481">
        <v>0</v>
      </c>
      <c r="J70" s="481"/>
      <c r="K70" s="482"/>
      <c r="L70" s="482"/>
      <c r="M70" s="482"/>
      <c r="N70" s="482"/>
      <c r="O70" s="476"/>
      <c r="P70" s="477"/>
      <c r="Q70" s="477"/>
      <c r="R70" s="477"/>
      <c r="S70" s="477"/>
      <c r="T70" s="477"/>
      <c r="U70" s="477"/>
      <c r="V70" s="477"/>
      <c r="W70" s="477">
        <v>0</v>
      </c>
      <c r="X70" s="477"/>
      <c r="Y70" s="477"/>
      <c r="Z70" s="477"/>
      <c r="AA70" s="477"/>
      <c r="AB70" s="477"/>
      <c r="AC70" s="537"/>
      <c r="AD70" s="537"/>
      <c r="AE70" s="476">
        <f t="shared" si="2"/>
        <v>0</v>
      </c>
      <c r="AF70" s="520"/>
      <c r="AG70" s="476">
        <v>143834.67000000001</v>
      </c>
      <c r="AH70" s="475">
        <v>143834.67000000001</v>
      </c>
      <c r="AI70" s="476">
        <f t="shared" ref="AI70:AI101" si="6">E70+G70+I70+K70+M70+O70+Q70+S70+U70+W70+Y70+AA70+AB70+AD70</f>
        <v>0</v>
      </c>
      <c r="AJ70" s="537">
        <f t="shared" ref="AJ70:AJ101" si="7">D70+F70+H70+J70+L70+N70+P70+R70+T70+V70+X70+Z70+AC70</f>
        <v>0</v>
      </c>
      <c r="AK70" s="476">
        <f t="shared" si="3"/>
        <v>0</v>
      </c>
      <c r="AL70" s="479" t="s">
        <v>458</v>
      </c>
      <c r="AM70" s="688"/>
      <c r="AN70" s="555"/>
      <c r="AO70" s="688"/>
      <c r="AP70" s="688"/>
      <c r="AQ70" s="688"/>
      <c r="AR70" s="688"/>
      <c r="AS70" s="688"/>
      <c r="AT70" s="688"/>
      <c r="AU70" s="688"/>
      <c r="AV70" s="688"/>
      <c r="AW70" s="688"/>
      <c r="AX70" s="688"/>
      <c r="AY70" s="688"/>
      <c r="AZ70" s="688"/>
      <c r="BA70" s="688"/>
    </row>
    <row r="71" spans="1:53" s="538" customFormat="1" x14ac:dyDescent="0.45">
      <c r="A71" s="689" t="s">
        <v>368</v>
      </c>
      <c r="B71" s="474">
        <f>'2016-2017'!AH67</f>
        <v>233361.03000000212</v>
      </c>
      <c r="C71" s="475"/>
      <c r="D71" s="474"/>
      <c r="E71" s="481">
        <v>626276.31000000006</v>
      </c>
      <c r="F71" s="481">
        <v>233360.98</v>
      </c>
      <c r="G71" s="539">
        <v>570901.65</v>
      </c>
      <c r="H71" s="481"/>
      <c r="I71" s="481">
        <v>577396.72</v>
      </c>
      <c r="J71" s="481">
        <v>1774574.68</v>
      </c>
      <c r="K71" s="482">
        <v>565764.37</v>
      </c>
      <c r="L71" s="482">
        <v>565764.37</v>
      </c>
      <c r="M71" s="482">
        <v>517774.29</v>
      </c>
      <c r="N71" s="482">
        <v>517774.29</v>
      </c>
      <c r="O71" s="476">
        <v>372666.53</v>
      </c>
      <c r="P71" s="477"/>
      <c r="Q71" s="477">
        <v>677080</v>
      </c>
      <c r="R71" s="477">
        <v>677080</v>
      </c>
      <c r="S71" s="477">
        <v>619666.48</v>
      </c>
      <c r="T71" s="477">
        <v>409991.9</v>
      </c>
      <c r="U71" s="477">
        <v>396892.31</v>
      </c>
      <c r="V71" s="477">
        <v>979233.41999999993</v>
      </c>
      <c r="W71" s="477">
        <v>1158290.8900000001</v>
      </c>
      <c r="X71" s="477">
        <v>1158290.8900000001</v>
      </c>
      <c r="Y71" s="477">
        <v>516116.10000000003</v>
      </c>
      <c r="Z71" s="596">
        <f>516116.13+750951.64</f>
        <v>1267067.77</v>
      </c>
      <c r="AA71" s="477"/>
      <c r="AB71" s="477">
        <v>699433.84000000008</v>
      </c>
      <c r="AC71" s="537"/>
      <c r="AD71" s="537"/>
      <c r="AE71" s="476">
        <f t="shared" ref="AE71:AE119" si="8">B71-C71-D71+E71-F71+G71-H71+I71-J71+K71-L71+M71-N71+O71-P71+Q71-R71+S71-T71+U71-V71+W71-X71+Y71-Z71+AA71+AB71</f>
        <v>-51517.7799999977</v>
      </c>
      <c r="AF71" s="520"/>
      <c r="AG71" s="476">
        <v>233361.03000000212</v>
      </c>
      <c r="AH71" s="475"/>
      <c r="AI71" s="476">
        <f t="shared" si="6"/>
        <v>7298259.4899999984</v>
      </c>
      <c r="AJ71" s="537">
        <f t="shared" si="7"/>
        <v>7583138.2999999989</v>
      </c>
      <c r="AK71" s="476">
        <f t="shared" ref="AK71:AK119" si="9">AG71-AH71+AI71-AJ71</f>
        <v>-51517.779999998398</v>
      </c>
      <c r="AL71" s="479" t="s">
        <v>457</v>
      </c>
      <c r="AM71" s="688"/>
      <c r="AN71" s="555"/>
      <c r="AO71" s="688"/>
      <c r="AP71" s="688"/>
      <c r="AQ71" s="688"/>
      <c r="AR71" s="688"/>
      <c r="AS71" s="688"/>
      <c r="AT71" s="688"/>
      <c r="AU71" s="688"/>
      <c r="AV71" s="688"/>
      <c r="AW71" s="688"/>
      <c r="AX71" s="688"/>
      <c r="AY71" s="688"/>
      <c r="AZ71" s="688"/>
      <c r="BA71" s="688"/>
    </row>
    <row r="72" spans="1:53" s="538" customFormat="1" x14ac:dyDescent="0.45">
      <c r="A72" s="689" t="s">
        <v>78</v>
      </c>
      <c r="B72" s="474">
        <f>'2016-2017'!AH68</f>
        <v>-107079.59</v>
      </c>
      <c r="C72" s="475">
        <v>6417.7299999892712</v>
      </c>
      <c r="D72" s="474">
        <v>0</v>
      </c>
      <c r="E72" s="481">
        <v>0</v>
      </c>
      <c r="F72" s="481"/>
      <c r="G72" s="539"/>
      <c r="H72" s="481"/>
      <c r="I72" s="481">
        <v>0</v>
      </c>
      <c r="J72" s="481"/>
      <c r="K72" s="482"/>
      <c r="L72" s="482"/>
      <c r="M72" s="482"/>
      <c r="N72" s="482"/>
      <c r="O72" s="476"/>
      <c r="P72" s="477"/>
      <c r="Q72" s="477"/>
      <c r="R72" s="477"/>
      <c r="S72" s="477"/>
      <c r="T72" s="477"/>
      <c r="U72" s="477"/>
      <c r="V72" s="477"/>
      <c r="W72" s="477">
        <v>0</v>
      </c>
      <c r="X72" s="477">
        <f>X71-W71</f>
        <v>0</v>
      </c>
      <c r="Y72" s="477"/>
      <c r="Z72" s="477"/>
      <c r="AA72" s="477"/>
      <c r="AB72" s="477">
        <v>0</v>
      </c>
      <c r="AC72" s="537"/>
      <c r="AD72" s="537"/>
      <c r="AE72" s="476">
        <f t="shared" si="8"/>
        <v>-113497.31999998927</v>
      </c>
      <c r="AF72" s="520"/>
      <c r="AG72" s="476">
        <v>-107079.59</v>
      </c>
      <c r="AH72" s="475">
        <v>6417.7299999892712</v>
      </c>
      <c r="AI72" s="476">
        <f t="shared" si="6"/>
        <v>0</v>
      </c>
      <c r="AJ72" s="537">
        <f t="shared" si="7"/>
        <v>0</v>
      </c>
      <c r="AK72" s="476">
        <f t="shared" si="9"/>
        <v>-113497.31999998927</v>
      </c>
      <c r="AL72" s="479" t="s">
        <v>458</v>
      </c>
      <c r="AM72" s="688"/>
      <c r="AN72" s="555"/>
      <c r="AO72" s="688"/>
      <c r="AP72" s="688"/>
      <c r="AQ72" s="688"/>
      <c r="AR72" s="688"/>
      <c r="AS72" s="688"/>
      <c r="AT72" s="688"/>
      <c r="AU72" s="688"/>
      <c r="AV72" s="688"/>
      <c r="AW72" s="688"/>
      <c r="AX72" s="688"/>
      <c r="AY72" s="688"/>
      <c r="AZ72" s="688"/>
      <c r="BA72" s="688"/>
    </row>
    <row r="73" spans="1:53" s="538" customFormat="1" x14ac:dyDescent="0.45">
      <c r="A73" s="689" t="s">
        <v>187</v>
      </c>
      <c r="B73" s="474">
        <f>'2016-2017'!AH69</f>
        <v>161183.25000000029</v>
      </c>
      <c r="C73" s="475">
        <v>161183.25</v>
      </c>
      <c r="D73" s="474"/>
      <c r="E73" s="481">
        <v>0</v>
      </c>
      <c r="F73" s="481"/>
      <c r="G73" s="539"/>
      <c r="H73" s="481"/>
      <c r="I73" s="481">
        <v>0</v>
      </c>
      <c r="J73" s="481"/>
      <c r="K73" s="482"/>
      <c r="L73" s="482"/>
      <c r="M73" s="482"/>
      <c r="N73" s="482"/>
      <c r="O73" s="476"/>
      <c r="P73" s="477"/>
      <c r="Q73" s="477"/>
      <c r="R73" s="477"/>
      <c r="S73" s="477"/>
      <c r="T73" s="477"/>
      <c r="U73" s="477"/>
      <c r="V73" s="477"/>
      <c r="W73" s="477">
        <v>0</v>
      </c>
      <c r="X73" s="477"/>
      <c r="Y73" s="477"/>
      <c r="Z73" s="477"/>
      <c r="AA73" s="477"/>
      <c r="AB73" s="477">
        <v>0</v>
      </c>
      <c r="AC73" s="537"/>
      <c r="AD73" s="537"/>
      <c r="AE73" s="476">
        <f t="shared" si="8"/>
        <v>2.9103830456733704E-10</v>
      </c>
      <c r="AF73" s="520"/>
      <c r="AG73" s="476">
        <v>161183.25000000029</v>
      </c>
      <c r="AH73" s="475">
        <v>161183.25</v>
      </c>
      <c r="AI73" s="476">
        <f t="shared" si="6"/>
        <v>0</v>
      </c>
      <c r="AJ73" s="537">
        <f t="shared" si="7"/>
        <v>0</v>
      </c>
      <c r="AK73" s="476">
        <f t="shared" si="9"/>
        <v>2.9103830456733704E-10</v>
      </c>
      <c r="AL73" s="479" t="s">
        <v>458</v>
      </c>
      <c r="AM73" s="688"/>
      <c r="AN73" s="555"/>
      <c r="AO73" s="688"/>
      <c r="AP73" s="688"/>
      <c r="AQ73" s="688"/>
      <c r="AR73" s="688"/>
      <c r="AS73" s="688"/>
      <c r="AT73" s="688"/>
      <c r="AU73" s="688"/>
      <c r="AV73" s="688"/>
      <c r="AW73" s="688"/>
      <c r="AX73" s="688"/>
      <c r="AY73" s="688"/>
      <c r="AZ73" s="688"/>
      <c r="BA73" s="688"/>
    </row>
    <row r="74" spans="1:53" s="538" customFormat="1" x14ac:dyDescent="0.45">
      <c r="A74" s="689" t="s">
        <v>314</v>
      </c>
      <c r="B74" s="474">
        <v>110579.18</v>
      </c>
      <c r="C74" s="475">
        <v>110579.18</v>
      </c>
      <c r="D74" s="474"/>
      <c r="E74" s="481">
        <v>0</v>
      </c>
      <c r="F74" s="481"/>
      <c r="G74" s="539"/>
      <c r="H74" s="481"/>
      <c r="I74" s="481">
        <v>0</v>
      </c>
      <c r="J74" s="481"/>
      <c r="K74" s="482"/>
      <c r="L74" s="482"/>
      <c r="M74" s="482"/>
      <c r="N74" s="482"/>
      <c r="O74" s="476"/>
      <c r="P74" s="477"/>
      <c r="Q74" s="477"/>
      <c r="R74" s="477"/>
      <c r="S74" s="477"/>
      <c r="T74" s="477"/>
      <c r="U74" s="477"/>
      <c r="V74" s="477"/>
      <c r="W74" s="477">
        <v>0</v>
      </c>
      <c r="X74" s="477"/>
      <c r="Y74" s="477"/>
      <c r="Z74" s="477"/>
      <c r="AA74" s="477"/>
      <c r="AB74" s="477">
        <v>0</v>
      </c>
      <c r="AC74" s="537"/>
      <c r="AD74" s="537"/>
      <c r="AE74" s="476">
        <f t="shared" si="8"/>
        <v>0</v>
      </c>
      <c r="AF74" s="520"/>
      <c r="AG74" s="476">
        <v>110579.18</v>
      </c>
      <c r="AH74" s="475">
        <v>110579.18</v>
      </c>
      <c r="AI74" s="476">
        <f t="shared" si="6"/>
        <v>0</v>
      </c>
      <c r="AJ74" s="537">
        <f t="shared" si="7"/>
        <v>0</v>
      </c>
      <c r="AK74" s="476">
        <f t="shared" si="9"/>
        <v>0</v>
      </c>
      <c r="AL74" s="479" t="s">
        <v>458</v>
      </c>
      <c r="AM74" s="688"/>
      <c r="AN74" s="555"/>
      <c r="AO74" s="688"/>
      <c r="AP74" s="688"/>
      <c r="AQ74" s="688"/>
      <c r="AR74" s="688"/>
      <c r="AS74" s="688"/>
      <c r="AT74" s="688"/>
      <c r="AU74" s="688"/>
      <c r="AV74" s="688"/>
      <c r="AW74" s="688"/>
      <c r="AX74" s="688"/>
      <c r="AY74" s="688"/>
      <c r="AZ74" s="688"/>
      <c r="BA74" s="688"/>
    </row>
    <row r="75" spans="1:53" s="538" customFormat="1" x14ac:dyDescent="0.45">
      <c r="A75" s="689" t="s">
        <v>83</v>
      </c>
      <c r="B75" s="474">
        <f>'2016-2017'!AH71</f>
        <v>282797.77000000031</v>
      </c>
      <c r="C75" s="475">
        <v>117923.66</v>
      </c>
      <c r="D75" s="474">
        <f>27769.46+8142.02</f>
        <v>35911.479999999996</v>
      </c>
      <c r="E75" s="481">
        <v>0</v>
      </c>
      <c r="F75" s="481"/>
      <c r="G75" s="539"/>
      <c r="H75" s="481">
        <f>79931</f>
        <v>79931</v>
      </c>
      <c r="I75" s="481">
        <v>0</v>
      </c>
      <c r="J75" s="481"/>
      <c r="K75" s="482"/>
      <c r="L75" s="482"/>
      <c r="M75" s="482"/>
      <c r="N75" s="482"/>
      <c r="O75" s="476"/>
      <c r="P75" s="477"/>
      <c r="Q75" s="477">
        <v>-49031.63</v>
      </c>
      <c r="R75" s="477"/>
      <c r="S75" s="477"/>
      <c r="T75" s="477"/>
      <c r="U75" s="477"/>
      <c r="V75" s="477"/>
      <c r="W75" s="477">
        <v>0</v>
      </c>
      <c r="X75" s="477"/>
      <c r="Y75" s="477"/>
      <c r="Z75" s="530"/>
      <c r="AA75" s="477"/>
      <c r="AB75" s="477">
        <v>0</v>
      </c>
      <c r="AC75" s="537"/>
      <c r="AD75" s="537"/>
      <c r="AE75" s="476">
        <f t="shared" si="8"/>
        <v>3.1286617740988731E-10</v>
      </c>
      <c r="AF75" s="520"/>
      <c r="AG75" s="476">
        <v>282797.77000000031</v>
      </c>
      <c r="AH75" s="475">
        <v>117923.66</v>
      </c>
      <c r="AI75" s="476">
        <f t="shared" si="6"/>
        <v>-49031.63</v>
      </c>
      <c r="AJ75" s="537">
        <f t="shared" si="7"/>
        <v>115842.48</v>
      </c>
      <c r="AK75" s="476">
        <f t="shared" si="9"/>
        <v>3.0559021979570389E-10</v>
      </c>
      <c r="AL75" s="479" t="s">
        <v>458</v>
      </c>
      <c r="AM75" s="688"/>
      <c r="AN75" s="555"/>
      <c r="AO75" s="688"/>
      <c r="AP75" s="688"/>
      <c r="AQ75" s="688"/>
      <c r="AR75" s="688"/>
      <c r="AS75" s="688"/>
      <c r="AT75" s="688"/>
      <c r="AU75" s="688"/>
      <c r="AV75" s="688"/>
      <c r="AW75" s="688"/>
      <c r="AX75" s="688"/>
      <c r="AY75" s="688"/>
      <c r="AZ75" s="688"/>
      <c r="BA75" s="688"/>
    </row>
    <row r="76" spans="1:53" s="538" customFormat="1" x14ac:dyDescent="0.45">
      <c r="A76" s="514" t="s">
        <v>112</v>
      </c>
      <c r="B76" s="474">
        <v>0</v>
      </c>
      <c r="C76" s="475"/>
      <c r="D76" s="474"/>
      <c r="E76" s="481">
        <v>0</v>
      </c>
      <c r="F76" s="481"/>
      <c r="G76" s="539"/>
      <c r="H76" s="481"/>
      <c r="I76" s="481">
        <v>0</v>
      </c>
      <c r="J76" s="481"/>
      <c r="K76" s="482"/>
      <c r="L76" s="482"/>
      <c r="M76" s="482"/>
      <c r="N76" s="482"/>
      <c r="O76" s="476"/>
      <c r="P76" s="477"/>
      <c r="Q76" s="477"/>
      <c r="R76" s="477"/>
      <c r="S76" s="477"/>
      <c r="T76" s="477"/>
      <c r="U76" s="477"/>
      <c r="V76" s="477"/>
      <c r="W76" s="477">
        <v>0</v>
      </c>
      <c r="X76" s="477"/>
      <c r="Y76" s="477"/>
      <c r="Z76" s="477"/>
      <c r="AA76" s="477"/>
      <c r="AB76" s="477">
        <v>0</v>
      </c>
      <c r="AC76" s="537"/>
      <c r="AD76" s="537"/>
      <c r="AE76" s="476">
        <f t="shared" si="8"/>
        <v>0</v>
      </c>
      <c r="AF76" s="520"/>
      <c r="AG76" s="476">
        <v>0</v>
      </c>
      <c r="AH76" s="475"/>
      <c r="AI76" s="476">
        <f t="shared" si="6"/>
        <v>0</v>
      </c>
      <c r="AJ76" s="537">
        <f t="shared" si="7"/>
        <v>0</v>
      </c>
      <c r="AK76" s="476">
        <f t="shared" si="9"/>
        <v>0</v>
      </c>
      <c r="AL76" s="479" t="s">
        <v>458</v>
      </c>
      <c r="AM76" s="688"/>
      <c r="AN76" s="555"/>
      <c r="AO76" s="688"/>
      <c r="AP76" s="688"/>
      <c r="AQ76" s="688"/>
      <c r="AR76" s="688"/>
      <c r="AS76" s="688"/>
      <c r="AT76" s="688"/>
      <c r="AU76" s="688"/>
      <c r="AV76" s="688"/>
      <c r="AW76" s="688"/>
      <c r="AX76" s="688"/>
      <c r="AY76" s="688"/>
      <c r="AZ76" s="688"/>
      <c r="BA76" s="688"/>
    </row>
    <row r="77" spans="1:53" s="538" customFormat="1" x14ac:dyDescent="0.45">
      <c r="A77" s="689" t="s">
        <v>190</v>
      </c>
      <c r="B77" s="474">
        <f>'2016-2017'!AH73</f>
        <v>-265954.98</v>
      </c>
      <c r="C77" s="475"/>
      <c r="D77" s="474"/>
      <c r="E77" s="481">
        <v>0</v>
      </c>
      <c r="F77" s="481"/>
      <c r="G77" s="539"/>
      <c r="H77" s="481"/>
      <c r="I77" s="481">
        <v>0</v>
      </c>
      <c r="J77" s="481"/>
      <c r="K77" s="482"/>
      <c r="L77" s="482"/>
      <c r="M77" s="482"/>
      <c r="N77" s="482"/>
      <c r="O77" s="476"/>
      <c r="P77" s="477"/>
      <c r="Q77" s="477"/>
      <c r="R77" s="477"/>
      <c r="S77" s="477"/>
      <c r="T77" s="477"/>
      <c r="U77" s="477"/>
      <c r="V77" s="477"/>
      <c r="W77" s="477">
        <v>0</v>
      </c>
      <c r="X77" s="477"/>
      <c r="Y77" s="477"/>
      <c r="Z77" s="477"/>
      <c r="AA77" s="477"/>
      <c r="AB77" s="477">
        <v>0</v>
      </c>
      <c r="AC77" s="537"/>
      <c r="AD77" s="537"/>
      <c r="AE77" s="476">
        <f t="shared" si="8"/>
        <v>-265954.98</v>
      </c>
      <c r="AF77" s="520"/>
      <c r="AG77" s="476">
        <v>-265954.98</v>
      </c>
      <c r="AH77" s="475"/>
      <c r="AI77" s="476">
        <f t="shared" si="6"/>
        <v>0</v>
      </c>
      <c r="AJ77" s="537">
        <f t="shared" si="7"/>
        <v>0</v>
      </c>
      <c r="AK77" s="476">
        <f t="shared" si="9"/>
        <v>-265954.98</v>
      </c>
      <c r="AL77" s="479" t="s">
        <v>458</v>
      </c>
      <c r="AM77" s="688"/>
      <c r="AN77" s="555"/>
      <c r="AO77" s="688"/>
      <c r="AP77" s="688"/>
      <c r="AQ77" s="688"/>
      <c r="AR77" s="688"/>
      <c r="AS77" s="688"/>
      <c r="AT77" s="688"/>
      <c r="AU77" s="688"/>
      <c r="AV77" s="688"/>
      <c r="AW77" s="688"/>
      <c r="AX77" s="688"/>
      <c r="AY77" s="688"/>
      <c r="AZ77" s="688"/>
      <c r="BA77" s="688"/>
    </row>
    <row r="78" spans="1:53" s="538" customFormat="1" x14ac:dyDescent="0.45">
      <c r="A78" s="689" t="s">
        <v>426</v>
      </c>
      <c r="B78" s="474">
        <f>'2016-2017'!AH74</f>
        <v>162003.14000000001</v>
      </c>
      <c r="C78" s="475">
        <v>162003.14000000001</v>
      </c>
      <c r="D78" s="474"/>
      <c r="E78" s="481">
        <v>0</v>
      </c>
      <c r="F78" s="481"/>
      <c r="G78" s="539"/>
      <c r="H78" s="481"/>
      <c r="I78" s="481">
        <v>0</v>
      </c>
      <c r="J78" s="481"/>
      <c r="K78" s="482"/>
      <c r="L78" s="482"/>
      <c r="M78" s="482"/>
      <c r="N78" s="482"/>
      <c r="O78" s="476"/>
      <c r="P78" s="477"/>
      <c r="Q78" s="477"/>
      <c r="R78" s="477"/>
      <c r="S78" s="477"/>
      <c r="T78" s="477"/>
      <c r="U78" s="477"/>
      <c r="V78" s="477"/>
      <c r="W78" s="477">
        <v>0</v>
      </c>
      <c r="X78" s="477"/>
      <c r="Y78" s="477"/>
      <c r="Z78" s="477"/>
      <c r="AA78" s="477"/>
      <c r="AB78" s="477">
        <v>0</v>
      </c>
      <c r="AC78" s="537"/>
      <c r="AD78" s="537"/>
      <c r="AE78" s="476">
        <f t="shared" si="8"/>
        <v>0</v>
      </c>
      <c r="AF78" s="520"/>
      <c r="AG78" s="476">
        <v>162003.14000000001</v>
      </c>
      <c r="AH78" s="475">
        <v>162003.14000000001</v>
      </c>
      <c r="AI78" s="476">
        <f t="shared" si="6"/>
        <v>0</v>
      </c>
      <c r="AJ78" s="537">
        <f t="shared" si="7"/>
        <v>0</v>
      </c>
      <c r="AK78" s="476">
        <f t="shared" si="9"/>
        <v>0</v>
      </c>
      <c r="AL78" s="479" t="s">
        <v>458</v>
      </c>
      <c r="AM78" s="688"/>
      <c r="AN78" s="555"/>
      <c r="AO78" s="688"/>
      <c r="AP78" s="688"/>
      <c r="AQ78" s="688"/>
      <c r="AR78" s="688"/>
      <c r="AS78" s="688"/>
      <c r="AT78" s="688"/>
      <c r="AU78" s="688"/>
      <c r="AV78" s="688"/>
      <c r="AW78" s="688"/>
      <c r="AX78" s="688"/>
      <c r="AY78" s="688"/>
      <c r="AZ78" s="688"/>
      <c r="BA78" s="688"/>
    </row>
    <row r="79" spans="1:53" s="538" customFormat="1" x14ac:dyDescent="0.45">
      <c r="A79" s="689" t="s">
        <v>52</v>
      </c>
      <c r="B79" s="474">
        <v>50330.71</v>
      </c>
      <c r="C79" s="475"/>
      <c r="D79" s="474"/>
      <c r="E79" s="481">
        <v>10044.75</v>
      </c>
      <c r="F79" s="481">
        <v>10044.75</v>
      </c>
      <c r="G79" s="539">
        <v>11028.7</v>
      </c>
      <c r="H79" s="481"/>
      <c r="I79" s="481">
        <v>10965.75</v>
      </c>
      <c r="J79" s="481">
        <v>11028.7</v>
      </c>
      <c r="K79" s="482">
        <v>10916.869999999999</v>
      </c>
      <c r="L79" s="482">
        <f>10965.75+10916.87</f>
        <v>21882.620000000003</v>
      </c>
      <c r="M79" s="482">
        <v>10459.57</v>
      </c>
      <c r="N79" s="482"/>
      <c r="O79" s="476">
        <v>7031.32</v>
      </c>
      <c r="P79" s="477">
        <v>10459.57</v>
      </c>
      <c r="Q79" s="477">
        <v>15474.529999999999</v>
      </c>
      <c r="R79" s="477"/>
      <c r="S79" s="477">
        <v>51697.57</v>
      </c>
      <c r="T79" s="477"/>
      <c r="U79" s="477"/>
      <c r="V79" s="477"/>
      <c r="W79" s="477">
        <v>0</v>
      </c>
      <c r="X79" s="477"/>
      <c r="Y79" s="477"/>
      <c r="Z79" s="477"/>
      <c r="AA79" s="477"/>
      <c r="AB79" s="477">
        <v>0</v>
      </c>
      <c r="AC79" s="537"/>
      <c r="AD79" s="537"/>
      <c r="AE79" s="476">
        <f t="shared" si="8"/>
        <v>124534.13</v>
      </c>
      <c r="AF79" s="520"/>
      <c r="AG79" s="476">
        <v>50330.71</v>
      </c>
      <c r="AH79" s="475"/>
      <c r="AI79" s="476">
        <f t="shared" si="6"/>
        <v>127619.06</v>
      </c>
      <c r="AJ79" s="537">
        <f t="shared" si="7"/>
        <v>53415.640000000007</v>
      </c>
      <c r="AK79" s="476">
        <f t="shared" si="9"/>
        <v>124534.12999999998</v>
      </c>
      <c r="AL79" s="479" t="s">
        <v>457</v>
      </c>
      <c r="AM79" s="688"/>
      <c r="AN79" s="555"/>
      <c r="AO79" s="688"/>
      <c r="AP79" s="688"/>
      <c r="AQ79" s="688"/>
      <c r="AR79" s="688"/>
      <c r="AS79" s="688"/>
      <c r="AT79" s="688"/>
      <c r="AU79" s="688"/>
      <c r="AV79" s="688"/>
      <c r="AW79" s="688"/>
      <c r="AX79" s="688"/>
      <c r="AY79" s="688"/>
      <c r="AZ79" s="688"/>
      <c r="BA79" s="688"/>
    </row>
    <row r="80" spans="1:53" s="538" customFormat="1" x14ac:dyDescent="0.45">
      <c r="A80" s="689" t="s">
        <v>55</v>
      </c>
      <c r="B80" s="474">
        <f>'2016-2017'!AH76</f>
        <v>-221089.2</v>
      </c>
      <c r="C80" s="475"/>
      <c r="D80" s="474"/>
      <c r="E80" s="481">
        <v>0</v>
      </c>
      <c r="F80" s="481"/>
      <c r="G80" s="539"/>
      <c r="H80" s="481"/>
      <c r="I80" s="481">
        <v>0</v>
      </c>
      <c r="J80" s="481"/>
      <c r="K80" s="482"/>
      <c r="L80" s="482"/>
      <c r="M80" s="482"/>
      <c r="N80" s="482"/>
      <c r="O80" s="476"/>
      <c r="P80" s="477"/>
      <c r="Q80" s="477"/>
      <c r="R80" s="477"/>
      <c r="S80" s="477"/>
      <c r="T80" s="477"/>
      <c r="U80" s="477"/>
      <c r="V80" s="477"/>
      <c r="W80" s="477">
        <v>0</v>
      </c>
      <c r="X80" s="477"/>
      <c r="Y80" s="477"/>
      <c r="Z80" s="477"/>
      <c r="AA80" s="477"/>
      <c r="AB80" s="477">
        <v>0</v>
      </c>
      <c r="AC80" s="537"/>
      <c r="AD80" s="537"/>
      <c r="AE80" s="476">
        <f t="shared" si="8"/>
        <v>-221089.2</v>
      </c>
      <c r="AF80" s="520"/>
      <c r="AG80" s="476">
        <v>-221089.2</v>
      </c>
      <c r="AH80" s="475"/>
      <c r="AI80" s="476">
        <f t="shared" si="6"/>
        <v>0</v>
      </c>
      <c r="AJ80" s="537">
        <f t="shared" si="7"/>
        <v>0</v>
      </c>
      <c r="AK80" s="476">
        <f t="shared" si="9"/>
        <v>-221089.2</v>
      </c>
      <c r="AL80" s="479" t="s">
        <v>458</v>
      </c>
      <c r="AM80" s="688"/>
      <c r="AN80" s="555"/>
      <c r="AO80" s="688"/>
      <c r="AP80" s="688"/>
      <c r="AQ80" s="688"/>
      <c r="AR80" s="688"/>
      <c r="AS80" s="688"/>
      <c r="AT80" s="688"/>
      <c r="AU80" s="688"/>
      <c r="AV80" s="688"/>
      <c r="AW80" s="688"/>
      <c r="AX80" s="688"/>
      <c r="AY80" s="688"/>
      <c r="AZ80" s="688"/>
      <c r="BA80" s="688"/>
    </row>
    <row r="81" spans="1:53" s="538" customFormat="1" x14ac:dyDescent="0.45">
      <c r="A81" s="689" t="s">
        <v>311</v>
      </c>
      <c r="B81" s="474">
        <f>'2016-2017'!AH77</f>
        <v>43110.02</v>
      </c>
      <c r="C81" s="475">
        <v>43110.02</v>
      </c>
      <c r="D81" s="474"/>
      <c r="E81" s="481">
        <v>0</v>
      </c>
      <c r="F81" s="481"/>
      <c r="G81" s="539"/>
      <c r="H81" s="481"/>
      <c r="I81" s="481">
        <v>0</v>
      </c>
      <c r="J81" s="481"/>
      <c r="K81" s="482"/>
      <c r="L81" s="482"/>
      <c r="M81" s="482"/>
      <c r="N81" s="482"/>
      <c r="O81" s="476"/>
      <c r="P81" s="477"/>
      <c r="Q81" s="477"/>
      <c r="R81" s="477"/>
      <c r="S81" s="477"/>
      <c r="T81" s="477"/>
      <c r="U81" s="477"/>
      <c r="V81" s="477"/>
      <c r="W81" s="477">
        <v>0</v>
      </c>
      <c r="X81" s="477"/>
      <c r="Y81" s="477"/>
      <c r="Z81" s="477"/>
      <c r="AA81" s="477"/>
      <c r="AB81" s="477">
        <v>0</v>
      </c>
      <c r="AC81" s="537"/>
      <c r="AD81" s="537"/>
      <c r="AE81" s="476">
        <f t="shared" si="8"/>
        <v>0</v>
      </c>
      <c r="AF81" s="520"/>
      <c r="AG81" s="476">
        <v>43110.02</v>
      </c>
      <c r="AH81" s="475">
        <v>43110.02</v>
      </c>
      <c r="AI81" s="476">
        <f t="shared" si="6"/>
        <v>0</v>
      </c>
      <c r="AJ81" s="537">
        <f t="shared" si="7"/>
        <v>0</v>
      </c>
      <c r="AK81" s="476">
        <f t="shared" si="9"/>
        <v>0</v>
      </c>
      <c r="AL81" s="479" t="s">
        <v>458</v>
      </c>
      <c r="AM81" s="688"/>
      <c r="AN81" s="555"/>
      <c r="AO81" s="688"/>
      <c r="AP81" s="688"/>
      <c r="AQ81" s="688"/>
      <c r="AR81" s="688"/>
      <c r="AS81" s="688"/>
      <c r="AT81" s="688"/>
      <c r="AU81" s="688"/>
      <c r="AV81" s="688"/>
      <c r="AW81" s="688"/>
      <c r="AX81" s="688"/>
      <c r="AY81" s="688"/>
      <c r="AZ81" s="688"/>
      <c r="BA81" s="688"/>
    </row>
    <row r="82" spans="1:53" s="538" customFormat="1" x14ac:dyDescent="0.45">
      <c r="A82" s="689" t="s">
        <v>45</v>
      </c>
      <c r="B82" s="474">
        <f>'2016-2017'!AH78</f>
        <v>303750.64000000007</v>
      </c>
      <c r="C82" s="475"/>
      <c r="D82" s="474">
        <f>31058.36+90994.87</f>
        <v>122053.23</v>
      </c>
      <c r="E82" s="481">
        <v>62579.22</v>
      </c>
      <c r="F82" s="481"/>
      <c r="G82" s="539">
        <v>63212.49</v>
      </c>
      <c r="H82" s="481"/>
      <c r="I82" s="481">
        <v>60528.079999999994</v>
      </c>
      <c r="J82" s="481"/>
      <c r="K82" s="482">
        <v>-45392.131699999998</v>
      </c>
      <c r="L82" s="482"/>
      <c r="M82" s="482">
        <v>31725.949999999997</v>
      </c>
      <c r="N82" s="482"/>
      <c r="O82" s="476"/>
      <c r="P82" s="477">
        <v>109817.37</v>
      </c>
      <c r="Q82" s="477">
        <v>61776.94</v>
      </c>
      <c r="R82" s="477"/>
      <c r="S82" s="477">
        <v>37791.4</v>
      </c>
      <c r="T82" s="477">
        <v>61891.76</v>
      </c>
      <c r="U82" s="477">
        <v>20649.199999999997</v>
      </c>
      <c r="V82" s="477"/>
      <c r="W82" s="477">
        <v>52456.19</v>
      </c>
      <c r="X82" s="477">
        <v>425209.75</v>
      </c>
      <c r="Y82" s="477">
        <v>99909</v>
      </c>
      <c r="Z82" s="477">
        <f>47809.72+16915.78</f>
        <v>64725.5</v>
      </c>
      <c r="AA82" s="477"/>
      <c r="AB82" s="477">
        <v>65687.540000000008</v>
      </c>
      <c r="AC82" s="537"/>
      <c r="AD82" s="537"/>
      <c r="AE82" s="476">
        <f t="shared" si="8"/>
        <v>30976.908300000214</v>
      </c>
      <c r="AF82" s="520"/>
      <c r="AG82" s="476">
        <v>303750.64000000007</v>
      </c>
      <c r="AH82" s="475"/>
      <c r="AI82" s="476">
        <f t="shared" si="6"/>
        <v>510923.87829999998</v>
      </c>
      <c r="AJ82" s="537">
        <f t="shared" si="7"/>
        <v>783697.61</v>
      </c>
      <c r="AK82" s="476">
        <f t="shared" si="9"/>
        <v>30976.908300000126</v>
      </c>
      <c r="AL82" s="479" t="s">
        <v>458</v>
      </c>
      <c r="AM82" s="688"/>
      <c r="AN82" s="555"/>
      <c r="AO82" s="688"/>
      <c r="AP82" s="688"/>
      <c r="AQ82" s="688"/>
      <c r="AR82" s="688"/>
      <c r="AS82" s="688"/>
      <c r="AT82" s="688"/>
      <c r="AU82" s="688"/>
      <c r="AV82" s="688"/>
      <c r="AW82" s="688"/>
      <c r="AX82" s="688"/>
      <c r="AY82" s="688"/>
      <c r="AZ82" s="688"/>
      <c r="BA82" s="688"/>
    </row>
    <row r="83" spans="1:53" s="538" customFormat="1" x14ac:dyDescent="0.45">
      <c r="A83" s="689" t="s">
        <v>191</v>
      </c>
      <c r="B83" s="474">
        <f>'2016-2017'!AH79</f>
        <v>-29297.360000000015</v>
      </c>
      <c r="C83" s="475"/>
      <c r="D83" s="474"/>
      <c r="E83" s="481">
        <v>0</v>
      </c>
      <c r="F83" s="481"/>
      <c r="G83" s="539"/>
      <c r="H83" s="481"/>
      <c r="I83" s="481">
        <v>0</v>
      </c>
      <c r="J83" s="481"/>
      <c r="K83" s="482"/>
      <c r="L83" s="482"/>
      <c r="M83" s="482"/>
      <c r="N83" s="482"/>
      <c r="O83" s="476"/>
      <c r="P83" s="477"/>
      <c r="Q83" s="477"/>
      <c r="R83" s="477"/>
      <c r="S83" s="477"/>
      <c r="T83" s="477"/>
      <c r="U83" s="477"/>
      <c r="V83" s="477"/>
      <c r="W83" s="477">
        <v>0</v>
      </c>
      <c r="X83" s="477"/>
      <c r="Y83" s="477"/>
      <c r="Z83" s="477"/>
      <c r="AA83" s="477"/>
      <c r="AB83" s="477">
        <v>0</v>
      </c>
      <c r="AC83" s="537"/>
      <c r="AD83" s="537"/>
      <c r="AE83" s="476">
        <f t="shared" si="8"/>
        <v>-29297.360000000015</v>
      </c>
      <c r="AF83" s="520"/>
      <c r="AG83" s="476">
        <v>-29297.360000000015</v>
      </c>
      <c r="AH83" s="475"/>
      <c r="AI83" s="476">
        <f t="shared" si="6"/>
        <v>0</v>
      </c>
      <c r="AJ83" s="537">
        <f t="shared" si="7"/>
        <v>0</v>
      </c>
      <c r="AK83" s="476">
        <f t="shared" si="9"/>
        <v>-29297.360000000015</v>
      </c>
      <c r="AL83" s="479" t="s">
        <v>458</v>
      </c>
      <c r="AM83" s="688"/>
      <c r="AN83" s="555"/>
      <c r="AO83" s="688"/>
      <c r="AP83" s="688"/>
      <c r="AQ83" s="688"/>
      <c r="AR83" s="688"/>
      <c r="AS83" s="688"/>
      <c r="AT83" s="688"/>
      <c r="AU83" s="688"/>
      <c r="AV83" s="688"/>
      <c r="AW83" s="688"/>
      <c r="AX83" s="688"/>
      <c r="AY83" s="688"/>
      <c r="AZ83" s="688"/>
      <c r="BA83" s="688"/>
    </row>
    <row r="84" spans="1:53" s="538" customFormat="1" x14ac:dyDescent="0.45">
      <c r="A84" s="689" t="s">
        <v>309</v>
      </c>
      <c r="B84" s="559">
        <v>174970.05</v>
      </c>
      <c r="C84" s="475">
        <v>149046.99</v>
      </c>
      <c r="D84" s="474"/>
      <c r="E84" s="481">
        <v>0</v>
      </c>
      <c r="F84" s="481"/>
      <c r="G84" s="539"/>
      <c r="H84" s="481"/>
      <c r="I84" s="481">
        <v>0</v>
      </c>
      <c r="J84" s="481"/>
      <c r="K84" s="482"/>
      <c r="L84" s="482"/>
      <c r="M84" s="482"/>
      <c r="N84" s="482"/>
      <c r="O84" s="476">
        <v>4830.87</v>
      </c>
      <c r="P84" s="477"/>
      <c r="Q84" s="477">
        <v>2392.4</v>
      </c>
      <c r="R84" s="477"/>
      <c r="S84" s="477">
        <v>0</v>
      </c>
      <c r="T84" s="477"/>
      <c r="U84" s="477">
        <v>14812.75</v>
      </c>
      <c r="V84" s="477"/>
      <c r="W84" s="477"/>
      <c r="X84" s="477">
        <v>24825.040000000001</v>
      </c>
      <c r="Y84" s="477">
        <v>22587.99</v>
      </c>
      <c r="Z84" s="477">
        <v>22587.99</v>
      </c>
      <c r="AA84" s="477"/>
      <c r="AB84" s="477">
        <v>100046.31</v>
      </c>
      <c r="AC84" s="537"/>
      <c r="AD84" s="537"/>
      <c r="AE84" s="476">
        <f t="shared" si="8"/>
        <v>123180.34999999999</v>
      </c>
      <c r="AF84" s="520"/>
      <c r="AG84" s="476">
        <v>174970.05</v>
      </c>
      <c r="AH84" s="475">
        <v>149046.99</v>
      </c>
      <c r="AI84" s="476">
        <f t="shared" si="6"/>
        <v>144670.32</v>
      </c>
      <c r="AJ84" s="537">
        <f t="shared" si="7"/>
        <v>47413.03</v>
      </c>
      <c r="AK84" s="476">
        <f t="shared" si="9"/>
        <v>123180.35</v>
      </c>
      <c r="AL84" s="479" t="s">
        <v>458</v>
      </c>
      <c r="AM84" s="688"/>
      <c r="AN84" s="555"/>
      <c r="AO84" s="688"/>
      <c r="AP84" s="688"/>
      <c r="AQ84" s="688"/>
      <c r="AR84" s="688"/>
      <c r="AS84" s="688"/>
      <c r="AT84" s="688"/>
      <c r="AU84" s="688"/>
      <c r="AV84" s="688"/>
      <c r="AW84" s="688"/>
      <c r="AX84" s="688"/>
      <c r="AY84" s="688"/>
      <c r="AZ84" s="688"/>
      <c r="BA84" s="688"/>
    </row>
    <row r="85" spans="1:53" s="538" customFormat="1" x14ac:dyDescent="0.45">
      <c r="A85" s="689" t="s">
        <v>197</v>
      </c>
      <c r="B85" s="474">
        <f>'2016-2017'!AH81</f>
        <v>32450.66</v>
      </c>
      <c r="C85" s="475"/>
      <c r="D85" s="474"/>
      <c r="E85" s="481">
        <v>0</v>
      </c>
      <c r="F85" s="481"/>
      <c r="G85" s="539">
        <v>93290.4</v>
      </c>
      <c r="H85" s="481"/>
      <c r="I85" s="481">
        <v>21991.17</v>
      </c>
      <c r="J85" s="481"/>
      <c r="K85" s="482">
        <v>74539.319999999992</v>
      </c>
      <c r="L85" s="482"/>
      <c r="M85" s="482">
        <v>14560.02</v>
      </c>
      <c r="N85" s="482"/>
      <c r="O85" s="476"/>
      <c r="P85" s="477"/>
      <c r="Q85" s="477"/>
      <c r="R85" s="477"/>
      <c r="S85" s="477">
        <v>9445.94</v>
      </c>
      <c r="T85" s="477"/>
      <c r="U85" s="477"/>
      <c r="V85" s="477"/>
      <c r="W85" s="477">
        <v>0</v>
      </c>
      <c r="X85" s="477"/>
      <c r="Y85" s="477">
        <v>25383.64</v>
      </c>
      <c r="Z85" s="477"/>
      <c r="AA85" s="477"/>
      <c r="AB85" s="477">
        <v>0</v>
      </c>
      <c r="AC85" s="537"/>
      <c r="AD85" s="537"/>
      <c r="AE85" s="476">
        <f t="shared" si="8"/>
        <v>271661.14999999997</v>
      </c>
      <c r="AF85" s="520"/>
      <c r="AG85" s="476">
        <v>32450.66</v>
      </c>
      <c r="AH85" s="475"/>
      <c r="AI85" s="476">
        <f t="shared" si="6"/>
        <v>239210.49</v>
      </c>
      <c r="AJ85" s="537">
        <f t="shared" si="7"/>
        <v>0</v>
      </c>
      <c r="AK85" s="476">
        <f t="shared" si="9"/>
        <v>271661.14999999997</v>
      </c>
      <c r="AL85" s="479" t="s">
        <v>458</v>
      </c>
      <c r="AM85" s="688"/>
      <c r="AN85" s="555"/>
      <c r="AO85" s="688"/>
      <c r="AP85" s="688"/>
      <c r="AQ85" s="688"/>
      <c r="AR85" s="688"/>
      <c r="AS85" s="688"/>
      <c r="AT85" s="688"/>
      <c r="AU85" s="688"/>
      <c r="AV85" s="688"/>
      <c r="AW85" s="688"/>
      <c r="AX85" s="688"/>
      <c r="AY85" s="688"/>
      <c r="AZ85" s="688"/>
      <c r="BA85" s="688"/>
    </row>
    <row r="86" spans="1:53" s="538" customFormat="1" x14ac:dyDescent="0.45">
      <c r="A86" s="515" t="s">
        <v>104</v>
      </c>
      <c r="B86" s="474">
        <f>'2016-2017'!AH82</f>
        <v>19279.3</v>
      </c>
      <c r="C86" s="475">
        <v>19279.3</v>
      </c>
      <c r="D86" s="474"/>
      <c r="E86" s="481">
        <v>0</v>
      </c>
      <c r="F86" s="481"/>
      <c r="G86" s="539"/>
      <c r="H86" s="481"/>
      <c r="I86" s="481">
        <v>0</v>
      </c>
      <c r="J86" s="481"/>
      <c r="K86" s="482"/>
      <c r="L86" s="482"/>
      <c r="M86" s="482"/>
      <c r="N86" s="482"/>
      <c r="O86" s="476"/>
      <c r="P86" s="477"/>
      <c r="Q86" s="477"/>
      <c r="R86" s="477"/>
      <c r="S86" s="477"/>
      <c r="T86" s="477"/>
      <c r="U86" s="477"/>
      <c r="V86" s="477"/>
      <c r="W86" s="477">
        <v>0</v>
      </c>
      <c r="X86" s="477"/>
      <c r="Y86" s="477"/>
      <c r="Z86" s="477"/>
      <c r="AA86" s="477"/>
      <c r="AB86" s="477">
        <v>0</v>
      </c>
      <c r="AC86" s="537"/>
      <c r="AD86" s="537"/>
      <c r="AE86" s="476">
        <f t="shared" si="8"/>
        <v>0</v>
      </c>
      <c r="AF86" s="520"/>
      <c r="AG86" s="476">
        <v>19279.3</v>
      </c>
      <c r="AH86" s="475">
        <v>19279.3</v>
      </c>
      <c r="AI86" s="476">
        <f t="shared" si="6"/>
        <v>0</v>
      </c>
      <c r="AJ86" s="537">
        <f t="shared" si="7"/>
        <v>0</v>
      </c>
      <c r="AK86" s="476">
        <f t="shared" si="9"/>
        <v>0</v>
      </c>
      <c r="AL86" s="479" t="s">
        <v>458</v>
      </c>
      <c r="AM86" s="688"/>
      <c r="AN86" s="555"/>
      <c r="AO86" s="688"/>
      <c r="AP86" s="688"/>
      <c r="AQ86" s="688"/>
      <c r="AR86" s="688"/>
      <c r="AS86" s="688"/>
      <c r="AT86" s="688"/>
      <c r="AU86" s="688"/>
      <c r="AV86" s="688"/>
      <c r="AW86" s="688"/>
      <c r="AX86" s="688"/>
      <c r="AY86" s="688"/>
      <c r="AZ86" s="688"/>
      <c r="BA86" s="688"/>
    </row>
    <row r="87" spans="1:53" s="538" customFormat="1" x14ac:dyDescent="0.45">
      <c r="A87" s="689" t="s">
        <v>316</v>
      </c>
      <c r="B87" s="474">
        <f>'2016-2017'!AH83</f>
        <v>17265.66</v>
      </c>
      <c r="C87" s="475">
        <v>17265.66</v>
      </c>
      <c r="D87" s="474"/>
      <c r="E87" s="481">
        <v>0</v>
      </c>
      <c r="F87" s="481"/>
      <c r="G87" s="539"/>
      <c r="H87" s="481"/>
      <c r="I87" s="481">
        <v>0</v>
      </c>
      <c r="J87" s="481"/>
      <c r="K87" s="482"/>
      <c r="L87" s="482"/>
      <c r="M87" s="482"/>
      <c r="N87" s="482"/>
      <c r="O87" s="476"/>
      <c r="P87" s="477"/>
      <c r="Q87" s="477"/>
      <c r="R87" s="477"/>
      <c r="S87" s="477"/>
      <c r="T87" s="477"/>
      <c r="U87" s="477"/>
      <c r="V87" s="477"/>
      <c r="W87" s="477">
        <v>0</v>
      </c>
      <c r="X87" s="477"/>
      <c r="Y87" s="477"/>
      <c r="Z87" s="477"/>
      <c r="AA87" s="477"/>
      <c r="AB87" s="477">
        <v>0</v>
      </c>
      <c r="AC87" s="537"/>
      <c r="AD87" s="537"/>
      <c r="AE87" s="476">
        <f t="shared" si="8"/>
        <v>0</v>
      </c>
      <c r="AF87" s="520"/>
      <c r="AG87" s="476">
        <v>17265.66</v>
      </c>
      <c r="AH87" s="475">
        <v>17265.66</v>
      </c>
      <c r="AI87" s="476">
        <f t="shared" si="6"/>
        <v>0</v>
      </c>
      <c r="AJ87" s="537">
        <f t="shared" si="7"/>
        <v>0</v>
      </c>
      <c r="AK87" s="476">
        <f t="shared" si="9"/>
        <v>0</v>
      </c>
      <c r="AL87" s="479" t="s">
        <v>458</v>
      </c>
      <c r="AM87" s="688"/>
      <c r="AN87" s="555"/>
      <c r="AO87" s="688"/>
      <c r="AP87" s="688"/>
      <c r="AQ87" s="688"/>
      <c r="AR87" s="688"/>
      <c r="AS87" s="688"/>
      <c r="AT87" s="688"/>
      <c r="AU87" s="688"/>
      <c r="AV87" s="688"/>
      <c r="AW87" s="688"/>
      <c r="AX87" s="688"/>
      <c r="AY87" s="688"/>
      <c r="AZ87" s="688"/>
      <c r="BA87" s="688"/>
    </row>
    <row r="88" spans="1:53" s="538" customFormat="1" x14ac:dyDescent="0.45">
      <c r="A88" s="689" t="s">
        <v>72</v>
      </c>
      <c r="B88" s="474">
        <v>89374.159999999902</v>
      </c>
      <c r="C88" s="475">
        <v>89374.159999999902</v>
      </c>
      <c r="D88" s="474"/>
      <c r="E88" s="481">
        <v>0</v>
      </c>
      <c r="F88" s="481"/>
      <c r="G88" s="539"/>
      <c r="H88" s="481"/>
      <c r="I88" s="481">
        <v>0</v>
      </c>
      <c r="J88" s="481"/>
      <c r="K88" s="482"/>
      <c r="L88" s="482"/>
      <c r="M88" s="482"/>
      <c r="N88" s="482"/>
      <c r="O88" s="476"/>
      <c r="P88" s="477"/>
      <c r="Q88" s="477"/>
      <c r="R88" s="477"/>
      <c r="S88" s="477"/>
      <c r="T88" s="477"/>
      <c r="U88" s="477"/>
      <c r="V88" s="477"/>
      <c r="W88" s="477">
        <v>0</v>
      </c>
      <c r="X88" s="477"/>
      <c r="Y88" s="477"/>
      <c r="Z88" s="477"/>
      <c r="AA88" s="477"/>
      <c r="AB88" s="477">
        <v>0</v>
      </c>
      <c r="AC88" s="537"/>
      <c r="AD88" s="537"/>
      <c r="AE88" s="476">
        <f t="shared" si="8"/>
        <v>0</v>
      </c>
      <c r="AF88" s="520"/>
      <c r="AG88" s="476">
        <f>84467.1599999999+4907</f>
        <v>89374.159999999902</v>
      </c>
      <c r="AH88" s="475">
        <v>89374.159999999902</v>
      </c>
      <c r="AI88" s="476">
        <f t="shared" si="6"/>
        <v>0</v>
      </c>
      <c r="AJ88" s="537">
        <f t="shared" si="7"/>
        <v>0</v>
      </c>
      <c r="AK88" s="476">
        <f t="shared" si="9"/>
        <v>0</v>
      </c>
      <c r="AL88" s="479" t="s">
        <v>458</v>
      </c>
      <c r="AM88" s="461"/>
      <c r="AN88" s="555"/>
      <c r="AO88" s="688"/>
      <c r="AP88" s="688"/>
      <c r="AQ88" s="688"/>
      <c r="AR88" s="688"/>
      <c r="AS88" s="688"/>
      <c r="AT88" s="688"/>
      <c r="AU88" s="688"/>
      <c r="AV88" s="688"/>
      <c r="AW88" s="688"/>
      <c r="AX88" s="688"/>
      <c r="AY88" s="688"/>
      <c r="AZ88" s="688"/>
      <c r="BA88" s="688"/>
    </row>
    <row r="89" spans="1:53" s="538" customFormat="1" x14ac:dyDescent="0.45">
      <c r="A89" s="689" t="s">
        <v>192</v>
      </c>
      <c r="B89" s="474">
        <f>'2016-2017'!AH85</f>
        <v>14167.500000000002</v>
      </c>
      <c r="C89" s="475">
        <v>14167.5</v>
      </c>
      <c r="D89" s="474"/>
      <c r="E89" s="481">
        <v>0</v>
      </c>
      <c r="F89" s="481"/>
      <c r="G89" s="539"/>
      <c r="H89" s="481"/>
      <c r="I89" s="481">
        <v>0</v>
      </c>
      <c r="J89" s="481"/>
      <c r="K89" s="482">
        <v>0</v>
      </c>
      <c r="L89" s="482"/>
      <c r="M89" s="482"/>
      <c r="N89" s="482"/>
      <c r="O89" s="476"/>
      <c r="P89" s="477"/>
      <c r="Q89" s="477"/>
      <c r="R89" s="477"/>
      <c r="S89" s="477"/>
      <c r="T89" s="477"/>
      <c r="U89" s="477"/>
      <c r="V89" s="477"/>
      <c r="W89" s="477">
        <v>0</v>
      </c>
      <c r="X89" s="477"/>
      <c r="Y89" s="477"/>
      <c r="Z89" s="477"/>
      <c r="AA89" s="477"/>
      <c r="AB89" s="477">
        <v>0</v>
      </c>
      <c r="AC89" s="537"/>
      <c r="AD89" s="537"/>
      <c r="AE89" s="476">
        <f t="shared" si="8"/>
        <v>1.8189894035458565E-12</v>
      </c>
      <c r="AF89" s="520"/>
      <c r="AG89" s="476">
        <v>14167.500000000002</v>
      </c>
      <c r="AH89" s="475">
        <v>14167.5</v>
      </c>
      <c r="AI89" s="476">
        <f t="shared" si="6"/>
        <v>0</v>
      </c>
      <c r="AJ89" s="537">
        <f t="shared" si="7"/>
        <v>0</v>
      </c>
      <c r="AK89" s="476">
        <f t="shared" si="9"/>
        <v>1.8189894035458565E-12</v>
      </c>
      <c r="AL89" s="479" t="s">
        <v>458</v>
      </c>
      <c r="AM89" s="688"/>
      <c r="AN89" s="555"/>
      <c r="AO89" s="688"/>
      <c r="AP89" s="688"/>
      <c r="AQ89" s="688"/>
      <c r="AR89" s="688"/>
      <c r="AS89" s="688"/>
      <c r="AT89" s="688"/>
      <c r="AU89" s="688"/>
      <c r="AV89" s="688"/>
      <c r="AW89" s="688"/>
      <c r="AX89" s="688"/>
      <c r="AY89" s="688"/>
      <c r="AZ89" s="688"/>
      <c r="BA89" s="688"/>
    </row>
    <row r="90" spans="1:53" s="538" customFormat="1" x14ac:dyDescent="0.45">
      <c r="A90" s="689" t="s">
        <v>80</v>
      </c>
      <c r="B90" s="474">
        <f>'2016-2017'!AH86</f>
        <v>7435.8559999999998</v>
      </c>
      <c r="C90" s="475"/>
      <c r="D90" s="474"/>
      <c r="E90" s="481">
        <v>8958.35</v>
      </c>
      <c r="F90" s="481">
        <f>9490.35+8490</f>
        <v>17980.349999999999</v>
      </c>
      <c r="G90" s="542">
        <v>9563.6299999999992</v>
      </c>
      <c r="H90" s="481"/>
      <c r="I90" s="481">
        <v>9596.9500000000007</v>
      </c>
      <c r="J90" s="481"/>
      <c r="K90" s="482">
        <v>9499.19</v>
      </c>
      <c r="L90" s="482">
        <f>9596.95+9563.63</f>
        <v>19160.580000000002</v>
      </c>
      <c r="M90" s="482">
        <v>8944.92</v>
      </c>
      <c r="N90" s="482">
        <f>8944.92+9499.19</f>
        <v>18444.11</v>
      </c>
      <c r="O90" s="476">
        <v>8490</v>
      </c>
      <c r="P90" s="477"/>
      <c r="Q90" s="477">
        <v>10135.75</v>
      </c>
      <c r="R90" s="477">
        <v>18625.75</v>
      </c>
      <c r="S90" s="477">
        <v>10786.9</v>
      </c>
      <c r="T90" s="477">
        <v>8490</v>
      </c>
      <c r="U90" s="477">
        <v>7946.55</v>
      </c>
      <c r="V90" s="477"/>
      <c r="W90" s="477">
        <v>9011</v>
      </c>
      <c r="X90" s="477">
        <v>19254.45</v>
      </c>
      <c r="Y90" s="477">
        <v>20626.68</v>
      </c>
      <c r="Z90" s="477">
        <v>20626.68</v>
      </c>
      <c r="AA90" s="477"/>
      <c r="AB90" s="477">
        <v>20312.88</v>
      </c>
      <c r="AC90" s="537"/>
      <c r="AD90" s="537"/>
      <c r="AE90" s="476">
        <f t="shared" si="8"/>
        <v>18726.736000000001</v>
      </c>
      <c r="AF90" s="520"/>
      <c r="AG90" s="476">
        <v>7435.8559999999998</v>
      </c>
      <c r="AH90" s="475"/>
      <c r="AI90" s="476">
        <f t="shared" si="6"/>
        <v>133872.80000000002</v>
      </c>
      <c r="AJ90" s="537">
        <f t="shared" si="7"/>
        <v>122581.92000000001</v>
      </c>
      <c r="AK90" s="476">
        <f t="shared" si="9"/>
        <v>18726.736000000004</v>
      </c>
      <c r="AL90" s="479" t="s">
        <v>457</v>
      </c>
      <c r="AM90" s="555"/>
      <c r="AN90" s="555"/>
      <c r="AO90" s="688"/>
      <c r="AP90" s="688"/>
      <c r="AQ90" s="688"/>
      <c r="AR90" s="688"/>
      <c r="AS90" s="688"/>
      <c r="AT90" s="688"/>
      <c r="AU90" s="688"/>
      <c r="AV90" s="688"/>
      <c r="AW90" s="688"/>
      <c r="AX90" s="688"/>
      <c r="AY90" s="688"/>
      <c r="AZ90" s="688"/>
      <c r="BA90" s="688"/>
    </row>
    <row r="91" spans="1:53" s="538" customFormat="1" x14ac:dyDescent="0.45">
      <c r="A91" s="689" t="s">
        <v>432</v>
      </c>
      <c r="B91" s="474">
        <f>'2016-2017'!AH87</f>
        <v>7899.08</v>
      </c>
      <c r="C91" s="475">
        <v>7899.08</v>
      </c>
      <c r="D91" s="474"/>
      <c r="E91" s="481">
        <v>0</v>
      </c>
      <c r="F91" s="481"/>
      <c r="G91" s="539"/>
      <c r="H91" s="481"/>
      <c r="I91" s="481"/>
      <c r="J91" s="481"/>
      <c r="K91" s="482"/>
      <c r="L91" s="482"/>
      <c r="M91" s="482"/>
      <c r="N91" s="482"/>
      <c r="O91" s="476"/>
      <c r="P91" s="477"/>
      <c r="Q91" s="477"/>
      <c r="R91" s="477"/>
      <c r="S91" s="477"/>
      <c r="T91" s="477"/>
      <c r="U91" s="477"/>
      <c r="V91" s="477"/>
      <c r="W91" s="477">
        <v>0</v>
      </c>
      <c r="X91" s="477"/>
      <c r="Y91" s="477"/>
      <c r="Z91" s="477"/>
      <c r="AA91" s="477"/>
      <c r="AB91" s="477">
        <v>0</v>
      </c>
      <c r="AC91" s="537"/>
      <c r="AD91" s="537"/>
      <c r="AE91" s="476">
        <f t="shared" si="8"/>
        <v>0</v>
      </c>
      <c r="AF91" s="520"/>
      <c r="AG91" s="476">
        <v>7899.08</v>
      </c>
      <c r="AH91" s="475">
        <v>7899.08</v>
      </c>
      <c r="AI91" s="476">
        <f t="shared" si="6"/>
        <v>0</v>
      </c>
      <c r="AJ91" s="537">
        <f t="shared" si="7"/>
        <v>0</v>
      </c>
      <c r="AK91" s="476">
        <f t="shared" si="9"/>
        <v>0</v>
      </c>
      <c r="AL91" s="479" t="s">
        <v>458</v>
      </c>
      <c r="AM91" s="688"/>
      <c r="AN91" s="555"/>
      <c r="AO91" s="688"/>
      <c r="AP91" s="688"/>
      <c r="AQ91" s="688"/>
      <c r="AR91" s="688"/>
      <c r="AS91" s="688"/>
      <c r="AT91" s="688"/>
      <c r="AU91" s="688"/>
      <c r="AV91" s="688"/>
      <c r="AW91" s="688"/>
      <c r="AX91" s="688"/>
      <c r="AY91" s="688"/>
      <c r="AZ91" s="688"/>
      <c r="BA91" s="688"/>
    </row>
    <row r="92" spans="1:53" s="538" customFormat="1" x14ac:dyDescent="0.45">
      <c r="A92" s="516" t="s">
        <v>92</v>
      </c>
      <c r="B92" s="474">
        <f>'2016-2017'!AH88</f>
        <v>873.27</v>
      </c>
      <c r="C92" s="475">
        <v>873.27</v>
      </c>
      <c r="D92" s="474"/>
      <c r="E92" s="481">
        <v>0</v>
      </c>
      <c r="F92" s="481"/>
      <c r="G92" s="539"/>
      <c r="H92" s="481"/>
      <c r="I92" s="481">
        <v>0</v>
      </c>
      <c r="J92" s="481"/>
      <c r="K92" s="482"/>
      <c r="L92" s="482"/>
      <c r="M92" s="482"/>
      <c r="N92" s="482"/>
      <c r="O92" s="476"/>
      <c r="P92" s="477"/>
      <c r="Q92" s="477"/>
      <c r="R92" s="477"/>
      <c r="S92" s="477"/>
      <c r="T92" s="477"/>
      <c r="U92" s="477"/>
      <c r="V92" s="477"/>
      <c r="W92" s="477">
        <v>0</v>
      </c>
      <c r="X92" s="477"/>
      <c r="Y92" s="477"/>
      <c r="Z92" s="477"/>
      <c r="AA92" s="477"/>
      <c r="AB92" s="477">
        <v>0</v>
      </c>
      <c r="AC92" s="537"/>
      <c r="AD92" s="537"/>
      <c r="AE92" s="476">
        <f t="shared" si="8"/>
        <v>0</v>
      </c>
      <c r="AF92" s="520"/>
      <c r="AG92" s="476">
        <v>873.27</v>
      </c>
      <c r="AH92" s="475">
        <v>873.27</v>
      </c>
      <c r="AI92" s="476">
        <f t="shared" si="6"/>
        <v>0</v>
      </c>
      <c r="AJ92" s="537">
        <f t="shared" si="7"/>
        <v>0</v>
      </c>
      <c r="AK92" s="476">
        <f t="shared" si="9"/>
        <v>0</v>
      </c>
      <c r="AL92" s="479" t="s">
        <v>458</v>
      </c>
      <c r="AM92" s="688"/>
      <c r="AN92" s="555"/>
      <c r="AO92" s="688"/>
      <c r="AP92" s="688"/>
      <c r="AQ92" s="688"/>
      <c r="AR92" s="688"/>
      <c r="AS92" s="688"/>
      <c r="AT92" s="688"/>
      <c r="AU92" s="688"/>
      <c r="AV92" s="688"/>
      <c r="AW92" s="688"/>
      <c r="AX92" s="688"/>
      <c r="AY92" s="688"/>
      <c r="AZ92" s="688"/>
      <c r="BA92" s="688"/>
    </row>
    <row r="93" spans="1:53" s="538" customFormat="1" x14ac:dyDescent="0.45">
      <c r="A93" s="483" t="s">
        <v>313</v>
      </c>
      <c r="B93" s="474">
        <f>'2016-2017'!AH89</f>
        <v>2081.1799999999998</v>
      </c>
      <c r="C93" s="475">
        <v>2081.1799999999998</v>
      </c>
      <c r="D93" s="474"/>
      <c r="E93" s="481">
        <v>0</v>
      </c>
      <c r="F93" s="481"/>
      <c r="G93" s="539"/>
      <c r="H93" s="481"/>
      <c r="I93" s="481">
        <v>0</v>
      </c>
      <c r="J93" s="481"/>
      <c r="K93" s="482"/>
      <c r="L93" s="482"/>
      <c r="M93" s="482"/>
      <c r="N93" s="482"/>
      <c r="O93" s="476"/>
      <c r="P93" s="477"/>
      <c r="Q93" s="477"/>
      <c r="R93" s="477"/>
      <c r="S93" s="477"/>
      <c r="T93" s="477"/>
      <c r="U93" s="477"/>
      <c r="V93" s="477"/>
      <c r="W93" s="477">
        <v>0</v>
      </c>
      <c r="X93" s="477"/>
      <c r="Y93" s="477"/>
      <c r="Z93" s="477"/>
      <c r="AA93" s="477"/>
      <c r="AB93" s="477">
        <v>0</v>
      </c>
      <c r="AC93" s="537"/>
      <c r="AD93" s="537"/>
      <c r="AE93" s="476">
        <f t="shared" si="8"/>
        <v>0</v>
      </c>
      <c r="AF93" s="520"/>
      <c r="AG93" s="476">
        <v>2081.1799999999998</v>
      </c>
      <c r="AH93" s="475">
        <v>2081.1799999999998</v>
      </c>
      <c r="AI93" s="476">
        <f t="shared" si="6"/>
        <v>0</v>
      </c>
      <c r="AJ93" s="537">
        <f t="shared" si="7"/>
        <v>0</v>
      </c>
      <c r="AK93" s="476">
        <f t="shared" si="9"/>
        <v>0</v>
      </c>
      <c r="AL93" s="479" t="s">
        <v>458</v>
      </c>
      <c r="AM93" s="688"/>
      <c r="AN93" s="555"/>
      <c r="AO93" s="688"/>
      <c r="AP93" s="688"/>
      <c r="AQ93" s="688"/>
      <c r="AR93" s="688"/>
      <c r="AS93" s="688"/>
      <c r="AT93" s="688"/>
      <c r="AU93" s="688"/>
      <c r="AV93" s="688"/>
      <c r="AW93" s="688"/>
      <c r="AX93" s="688"/>
      <c r="AY93" s="688"/>
      <c r="AZ93" s="688"/>
      <c r="BA93" s="688"/>
    </row>
    <row r="94" spans="1:53" s="538" customFormat="1" x14ac:dyDescent="0.45">
      <c r="A94" s="689" t="s">
        <v>188</v>
      </c>
      <c r="B94" s="474">
        <f>'2016-2017'!AH90</f>
        <v>1762.4</v>
      </c>
      <c r="C94" s="475">
        <v>1762.4</v>
      </c>
      <c r="D94" s="474"/>
      <c r="E94" s="481">
        <v>0</v>
      </c>
      <c r="F94" s="481"/>
      <c r="G94" s="539"/>
      <c r="H94" s="481"/>
      <c r="I94" s="481">
        <v>0</v>
      </c>
      <c r="J94" s="481"/>
      <c r="K94" s="482"/>
      <c r="L94" s="482"/>
      <c r="M94" s="482"/>
      <c r="N94" s="482"/>
      <c r="O94" s="476"/>
      <c r="P94" s="477"/>
      <c r="Q94" s="477"/>
      <c r="R94" s="477"/>
      <c r="S94" s="477"/>
      <c r="T94" s="477"/>
      <c r="U94" s="477"/>
      <c r="V94" s="477"/>
      <c r="W94" s="477">
        <v>0</v>
      </c>
      <c r="X94" s="477"/>
      <c r="Y94" s="477"/>
      <c r="Z94" s="477"/>
      <c r="AA94" s="477"/>
      <c r="AB94" s="477">
        <v>0</v>
      </c>
      <c r="AC94" s="537"/>
      <c r="AD94" s="537"/>
      <c r="AE94" s="476">
        <f t="shared" si="8"/>
        <v>0</v>
      </c>
      <c r="AF94" s="520"/>
      <c r="AG94" s="476">
        <v>1762.4</v>
      </c>
      <c r="AH94" s="475">
        <v>1762.4</v>
      </c>
      <c r="AI94" s="476">
        <f t="shared" si="6"/>
        <v>0</v>
      </c>
      <c r="AJ94" s="537">
        <f t="shared" si="7"/>
        <v>0</v>
      </c>
      <c r="AK94" s="476">
        <f t="shared" si="9"/>
        <v>0</v>
      </c>
      <c r="AL94" s="479" t="s">
        <v>458</v>
      </c>
      <c r="AM94" s="688"/>
      <c r="AN94" s="555"/>
      <c r="AO94" s="688"/>
      <c r="AP94" s="688"/>
      <c r="AQ94" s="688"/>
      <c r="AR94" s="688"/>
      <c r="AS94" s="688"/>
      <c r="AT94" s="688"/>
      <c r="AU94" s="688"/>
      <c r="AV94" s="688"/>
      <c r="AW94" s="688"/>
      <c r="AX94" s="688"/>
      <c r="AY94" s="688"/>
      <c r="AZ94" s="688"/>
      <c r="BA94" s="688"/>
    </row>
    <row r="95" spans="1:53" s="538" customFormat="1" x14ac:dyDescent="0.45">
      <c r="A95" s="514" t="s">
        <v>152</v>
      </c>
      <c r="B95" s="474">
        <f>'2016-2017'!AH91</f>
        <v>2</v>
      </c>
      <c r="C95" s="475">
        <v>2</v>
      </c>
      <c r="D95" s="474"/>
      <c r="E95" s="481">
        <v>0</v>
      </c>
      <c r="F95" s="481"/>
      <c r="G95" s="477"/>
      <c r="H95" s="481"/>
      <c r="I95" s="481">
        <v>0</v>
      </c>
      <c r="J95" s="481"/>
      <c r="K95" s="482"/>
      <c r="L95" s="482"/>
      <c r="M95" s="482"/>
      <c r="N95" s="482"/>
      <c r="O95" s="476"/>
      <c r="P95" s="477"/>
      <c r="Q95" s="477"/>
      <c r="R95" s="477"/>
      <c r="S95" s="477"/>
      <c r="T95" s="477"/>
      <c r="U95" s="477"/>
      <c r="V95" s="477"/>
      <c r="W95" s="477">
        <v>0</v>
      </c>
      <c r="X95" s="477"/>
      <c r="Y95" s="477"/>
      <c r="Z95" s="477"/>
      <c r="AA95" s="477"/>
      <c r="AB95" s="477">
        <v>0</v>
      </c>
      <c r="AC95" s="537"/>
      <c r="AD95" s="537"/>
      <c r="AE95" s="476">
        <f t="shared" si="8"/>
        <v>0</v>
      </c>
      <c r="AF95" s="520"/>
      <c r="AG95" s="476">
        <v>2</v>
      </c>
      <c r="AH95" s="475">
        <v>2</v>
      </c>
      <c r="AI95" s="476">
        <f t="shared" si="6"/>
        <v>0</v>
      </c>
      <c r="AJ95" s="537">
        <f t="shared" si="7"/>
        <v>0</v>
      </c>
      <c r="AK95" s="476">
        <f t="shared" si="9"/>
        <v>0</v>
      </c>
      <c r="AL95" s="479" t="s">
        <v>458</v>
      </c>
      <c r="AM95" s="688"/>
      <c r="AN95" s="555"/>
      <c r="AO95" s="688"/>
      <c r="AP95" s="688"/>
      <c r="AQ95" s="688"/>
      <c r="AR95" s="688"/>
      <c r="AS95" s="688"/>
      <c r="AT95" s="688"/>
      <c r="AU95" s="688"/>
      <c r="AV95" s="688"/>
      <c r="AW95" s="688"/>
      <c r="AX95" s="688"/>
      <c r="AY95" s="688"/>
      <c r="AZ95" s="688"/>
      <c r="BA95" s="688"/>
    </row>
    <row r="96" spans="1:53" s="538" customFormat="1" x14ac:dyDescent="0.45">
      <c r="A96" s="517" t="s">
        <v>76</v>
      </c>
      <c r="B96" s="474">
        <f>'2016-2017'!AH92</f>
        <v>-6676.2799999998833</v>
      </c>
      <c r="C96" s="484"/>
      <c r="D96" s="485"/>
      <c r="E96" s="474">
        <v>0</v>
      </c>
      <c r="F96" s="474"/>
      <c r="G96" s="477"/>
      <c r="H96" s="481"/>
      <c r="I96" s="489">
        <v>0</v>
      </c>
      <c r="J96" s="481"/>
      <c r="K96" s="482"/>
      <c r="L96" s="684"/>
      <c r="M96" s="482"/>
      <c r="N96" s="482"/>
      <c r="O96" s="476"/>
      <c r="P96" s="477"/>
      <c r="Q96" s="477"/>
      <c r="R96" s="477"/>
      <c r="S96" s="477"/>
      <c r="T96" s="477"/>
      <c r="U96" s="477"/>
      <c r="V96" s="477"/>
      <c r="W96" s="477">
        <v>0</v>
      </c>
      <c r="X96" s="477"/>
      <c r="Y96" s="477"/>
      <c r="Z96" s="477"/>
      <c r="AA96" s="477"/>
      <c r="AB96" s="477">
        <v>0</v>
      </c>
      <c r="AC96" s="537"/>
      <c r="AD96" s="537"/>
      <c r="AE96" s="476">
        <f t="shared" si="8"/>
        <v>-6676.2799999998833</v>
      </c>
      <c r="AF96" s="520"/>
      <c r="AG96" s="476">
        <v>-6676.2799999998833</v>
      </c>
      <c r="AH96" s="484"/>
      <c r="AI96" s="476">
        <f t="shared" si="6"/>
        <v>0</v>
      </c>
      <c r="AJ96" s="537">
        <f t="shared" si="7"/>
        <v>0</v>
      </c>
      <c r="AK96" s="476">
        <f t="shared" si="9"/>
        <v>-6676.2799999998833</v>
      </c>
      <c r="AL96" s="479" t="s">
        <v>458</v>
      </c>
      <c r="AM96" s="688"/>
      <c r="AN96" s="555"/>
      <c r="AO96" s="688"/>
      <c r="AP96" s="688"/>
      <c r="AQ96" s="688"/>
      <c r="AR96" s="688"/>
      <c r="AS96" s="688"/>
      <c r="AT96" s="688"/>
      <c r="AU96" s="688"/>
      <c r="AV96" s="688"/>
      <c r="AW96" s="688"/>
      <c r="AX96" s="688"/>
      <c r="AY96" s="688"/>
      <c r="AZ96" s="688"/>
      <c r="BA96" s="688"/>
    </row>
    <row r="97" spans="1:53" s="538" customFormat="1" x14ac:dyDescent="0.45">
      <c r="A97" s="694" t="s">
        <v>61</v>
      </c>
      <c r="B97" s="474">
        <f>'2016-2017'!AH93</f>
        <v>111067.51999999979</v>
      </c>
      <c r="C97" s="484"/>
      <c r="D97" s="485">
        <f>6630</f>
        <v>6630</v>
      </c>
      <c r="E97" s="485">
        <v>151995.41999999998</v>
      </c>
      <c r="F97" s="488">
        <v>187842.86000000002</v>
      </c>
      <c r="G97" s="540">
        <v>154331.64000000001</v>
      </c>
      <c r="H97" s="489"/>
      <c r="I97" s="485">
        <v>161055.41</v>
      </c>
      <c r="J97" s="489">
        <f>9823+1493.85+98334.78+6630+102119.09+68579+19521.54+988.5+85</f>
        <v>307574.75999999995</v>
      </c>
      <c r="K97" s="482">
        <v>168242.54</v>
      </c>
      <c r="L97" s="482">
        <f>7812.29+20511.32+587.55+9020+90265.32+35530</f>
        <v>163726.48000000001</v>
      </c>
      <c r="M97" s="482">
        <v>155480.10999999999</v>
      </c>
      <c r="N97" s="482"/>
      <c r="O97" s="476">
        <v>120192</v>
      </c>
      <c r="P97" s="477">
        <f>47483.23+85623.86+10571.32+1588.1+10098.1</f>
        <v>155364.61000000002</v>
      </c>
      <c r="Q97" s="477">
        <v>199111.33000000002</v>
      </c>
      <c r="R97" s="477">
        <f>16453+59559</f>
        <v>76012</v>
      </c>
      <c r="S97" s="477">
        <v>179615.14</v>
      </c>
      <c r="T97" s="477">
        <v>44180</v>
      </c>
      <c r="U97" s="477">
        <v>121435.13</v>
      </c>
      <c r="V97" s="477">
        <v>182739.44</v>
      </c>
      <c r="W97" s="477">
        <v>154010.38</v>
      </c>
      <c r="X97" s="477">
        <v>454724.14999999997</v>
      </c>
      <c r="Y97" s="477">
        <v>193751.96000000002</v>
      </c>
      <c r="Z97" s="461">
        <f>11391.75+59559+133326.9+89173.58</f>
        <v>293451.23</v>
      </c>
      <c r="AA97" s="477"/>
      <c r="AB97" s="477">
        <v>156460.29999999999</v>
      </c>
      <c r="AC97" s="537"/>
      <c r="AD97" s="537"/>
      <c r="AE97" s="476">
        <f t="shared" si="8"/>
        <v>154503.3499999998</v>
      </c>
      <c r="AF97" s="520"/>
      <c r="AG97" s="476">
        <v>111067.51999999979</v>
      </c>
      <c r="AH97" s="484"/>
      <c r="AI97" s="476">
        <f t="shared" si="6"/>
        <v>1915681.3599999996</v>
      </c>
      <c r="AJ97" s="537">
        <f t="shared" si="7"/>
        <v>1872245.5299999998</v>
      </c>
      <c r="AK97" s="476">
        <f t="shared" si="9"/>
        <v>154503.34999999963</v>
      </c>
      <c r="AL97" s="479" t="s">
        <v>457</v>
      </c>
      <c r="AM97" s="688"/>
      <c r="AN97" s="555"/>
      <c r="AO97" s="688"/>
      <c r="AP97" s="688"/>
      <c r="AQ97" s="688"/>
      <c r="AR97" s="688"/>
      <c r="AS97" s="688"/>
      <c r="AT97" s="688"/>
      <c r="AU97" s="688"/>
      <c r="AV97" s="688"/>
      <c r="AW97" s="688"/>
      <c r="AX97" s="688"/>
      <c r="AY97" s="688"/>
      <c r="AZ97" s="688"/>
      <c r="BA97" s="688"/>
    </row>
    <row r="98" spans="1:53" s="538" customFormat="1" x14ac:dyDescent="0.45">
      <c r="A98" s="694" t="s">
        <v>70</v>
      </c>
      <c r="B98" s="474">
        <f>'2016-2017'!AH94</f>
        <v>1005118.3399999989</v>
      </c>
      <c r="C98" s="484"/>
      <c r="D98" s="485"/>
      <c r="E98" s="485">
        <v>197681.7</v>
      </c>
      <c r="F98" s="485">
        <f>302299.16</f>
        <v>302299.15999999997</v>
      </c>
      <c r="G98" s="490">
        <v>272804.92</v>
      </c>
      <c r="H98" s="485"/>
      <c r="I98" s="485">
        <v>180724.64</v>
      </c>
      <c r="J98" s="474">
        <f>33.5</f>
        <v>33.5</v>
      </c>
      <c r="K98" s="482">
        <v>196322.19</v>
      </c>
      <c r="L98" s="482">
        <f>272804.92+180724.64+197681.7+196322.19</f>
        <v>847533.45</v>
      </c>
      <c r="M98" s="482">
        <v>270475.76</v>
      </c>
      <c r="N98" s="482"/>
      <c r="O98" s="476">
        <v>208306.34</v>
      </c>
      <c r="P98" s="477">
        <v>270475.76</v>
      </c>
      <c r="Q98" s="477">
        <v>294542.90000000002</v>
      </c>
      <c r="R98" s="477">
        <v>502849.24</v>
      </c>
      <c r="S98" s="477">
        <v>275886.90000000002</v>
      </c>
      <c r="T98" s="477">
        <v>275886.90000000002</v>
      </c>
      <c r="U98" s="477">
        <v>135419.12999999998</v>
      </c>
      <c r="V98" s="477"/>
      <c r="W98" s="477">
        <v>182842.41999999998</v>
      </c>
      <c r="X98" s="477"/>
      <c r="Y98" s="477">
        <v>205215.06999999998</v>
      </c>
      <c r="Z98" s="477">
        <f>135419.13+182842.42+205215.07</f>
        <v>523476.62000000005</v>
      </c>
      <c r="AA98" s="477"/>
      <c r="AB98" s="477">
        <v>909320.18</v>
      </c>
      <c r="AC98" s="477"/>
      <c r="AD98" s="537"/>
      <c r="AE98" s="476">
        <f t="shared" si="8"/>
        <v>1612105.8599999989</v>
      </c>
      <c r="AF98" s="520"/>
      <c r="AG98" s="476">
        <v>1005118.3399999989</v>
      </c>
      <c r="AH98" s="484"/>
      <c r="AI98" s="476">
        <f t="shared" si="6"/>
        <v>3329542.15</v>
      </c>
      <c r="AJ98" s="537">
        <f t="shared" si="7"/>
        <v>2722554.63</v>
      </c>
      <c r="AK98" s="476">
        <f t="shared" si="9"/>
        <v>1612105.8599999985</v>
      </c>
      <c r="AL98" s="479" t="s">
        <v>458</v>
      </c>
      <c r="AM98" s="688"/>
      <c r="AN98" s="555"/>
      <c r="AO98" s="688"/>
      <c r="AP98" s="688"/>
      <c r="AQ98" s="688"/>
      <c r="AR98" s="688"/>
      <c r="AS98" s="688"/>
      <c r="AT98" s="688"/>
      <c r="AU98" s="688"/>
      <c r="AV98" s="688"/>
      <c r="AW98" s="688"/>
      <c r="AX98" s="688"/>
      <c r="AY98" s="688"/>
      <c r="AZ98" s="688"/>
      <c r="BA98" s="688"/>
    </row>
    <row r="99" spans="1:53" s="538" customFormat="1" x14ac:dyDescent="0.45">
      <c r="A99" s="694" t="s">
        <v>58</v>
      </c>
      <c r="B99" s="474">
        <f>'2016-2017'!AH95</f>
        <v>128072.54999999888</v>
      </c>
      <c r="C99" s="484"/>
      <c r="D99" s="485"/>
      <c r="E99" s="485">
        <v>562988.07000000007</v>
      </c>
      <c r="F99" s="485">
        <f>691060.62</f>
        <v>691060.62</v>
      </c>
      <c r="G99" s="490">
        <v>572320.47</v>
      </c>
      <c r="H99" s="485"/>
      <c r="I99" s="485">
        <v>574158.16</v>
      </c>
      <c r="J99" s="485">
        <f>572320.47+574158.16</f>
        <v>1146478.6299999999</v>
      </c>
      <c r="K99" s="487">
        <v>535117.32999999996</v>
      </c>
      <c r="L99" s="474"/>
      <c r="M99" s="474">
        <v>514833.17</v>
      </c>
      <c r="N99" s="481">
        <v>535117.32999999996</v>
      </c>
      <c r="O99" s="476">
        <v>411001.42</v>
      </c>
      <c r="P99" s="477">
        <v>514833.17</v>
      </c>
      <c r="Q99" s="477">
        <v>597356.19999999995</v>
      </c>
      <c r="R99" s="477">
        <v>597356.19999999995</v>
      </c>
      <c r="S99" s="477">
        <v>586281.07999999996</v>
      </c>
      <c r="T99" s="477">
        <v>410399</v>
      </c>
      <c r="U99" s="477">
        <v>410346.67000000004</v>
      </c>
      <c r="V99" s="477">
        <f>410346.67</f>
        <v>410346.67</v>
      </c>
      <c r="W99" s="477">
        <v>592286.96</v>
      </c>
      <c r="X99" s="477">
        <v>1003288.38</v>
      </c>
      <c r="Y99" s="477">
        <v>726573.79</v>
      </c>
      <c r="Z99" s="477">
        <f>726573.79+175882.08</f>
        <v>902455.87</v>
      </c>
      <c r="AA99" s="477"/>
      <c r="AB99" s="477">
        <v>365430.03</v>
      </c>
      <c r="AC99" s="537"/>
      <c r="AD99" s="537"/>
      <c r="AE99" s="476">
        <f t="shared" si="8"/>
        <v>365430.02999999933</v>
      </c>
      <c r="AF99" s="520"/>
      <c r="AG99" s="476">
        <v>128072.54999999888</v>
      </c>
      <c r="AH99" s="484"/>
      <c r="AI99" s="476">
        <f t="shared" si="6"/>
        <v>6448693.3500000006</v>
      </c>
      <c r="AJ99" s="537">
        <f t="shared" si="7"/>
        <v>6211335.8700000001</v>
      </c>
      <c r="AK99" s="476">
        <f t="shared" si="9"/>
        <v>365430.02999999933</v>
      </c>
      <c r="AL99" s="479" t="s">
        <v>457</v>
      </c>
      <c r="AM99" s="688"/>
      <c r="AN99" s="555"/>
      <c r="AO99" s="688"/>
      <c r="AP99" s="688"/>
      <c r="AQ99" s="688"/>
      <c r="AR99" s="688"/>
      <c r="AS99" s="688"/>
      <c r="AT99" s="688"/>
      <c r="AU99" s="688"/>
      <c r="AV99" s="688"/>
      <c r="AW99" s="688"/>
      <c r="AX99" s="688"/>
      <c r="AY99" s="688"/>
      <c r="AZ99" s="688"/>
      <c r="BA99" s="688"/>
    </row>
    <row r="100" spans="1:53" s="538" customFormat="1" x14ac:dyDescent="0.45">
      <c r="A100" s="694" t="s">
        <v>194</v>
      </c>
      <c r="B100" s="474">
        <f>'2016-2017'!AH96</f>
        <v>-115236.29000000001</v>
      </c>
      <c r="C100" s="484"/>
      <c r="D100" s="485"/>
      <c r="E100" s="485">
        <v>0</v>
      </c>
      <c r="F100" s="485"/>
      <c r="G100" s="490"/>
      <c r="H100" s="485"/>
      <c r="I100" s="485">
        <v>0</v>
      </c>
      <c r="J100" s="485"/>
      <c r="K100" s="488"/>
      <c r="L100" s="487"/>
      <c r="M100" s="485"/>
      <c r="N100" s="486"/>
      <c r="O100" s="476"/>
      <c r="P100" s="477"/>
      <c r="Q100" s="477"/>
      <c r="R100" s="477"/>
      <c r="S100" s="477"/>
      <c r="T100" s="477"/>
      <c r="U100" s="477"/>
      <c r="V100" s="477"/>
      <c r="W100" s="477">
        <v>0</v>
      </c>
      <c r="X100" s="477"/>
      <c r="Y100" s="477"/>
      <c r="Z100" s="477"/>
      <c r="AA100" s="477"/>
      <c r="AB100" s="477">
        <v>0</v>
      </c>
      <c r="AC100" s="537"/>
      <c r="AD100" s="537"/>
      <c r="AE100" s="476">
        <f t="shared" si="8"/>
        <v>-115236.29000000001</v>
      </c>
      <c r="AF100" s="520"/>
      <c r="AG100" s="476">
        <v>-115236.29000000001</v>
      </c>
      <c r="AH100" s="484"/>
      <c r="AI100" s="476">
        <f t="shared" si="6"/>
        <v>0</v>
      </c>
      <c r="AJ100" s="537">
        <f t="shared" si="7"/>
        <v>0</v>
      </c>
      <c r="AK100" s="476">
        <f t="shared" si="9"/>
        <v>-115236.29000000001</v>
      </c>
      <c r="AL100" s="479" t="s">
        <v>458</v>
      </c>
      <c r="AM100" s="688"/>
      <c r="AN100" s="555"/>
      <c r="AO100" s="688"/>
      <c r="AP100" s="688"/>
      <c r="AQ100" s="688"/>
      <c r="AR100" s="688"/>
      <c r="AS100" s="688"/>
      <c r="AT100" s="688"/>
      <c r="AU100" s="688"/>
      <c r="AV100" s="688"/>
      <c r="AW100" s="688"/>
      <c r="AX100" s="688"/>
      <c r="AY100" s="688"/>
      <c r="AZ100" s="688"/>
      <c r="BA100" s="688"/>
    </row>
    <row r="101" spans="1:53" s="538" customFormat="1" x14ac:dyDescent="0.45">
      <c r="A101" s="694" t="s">
        <v>27</v>
      </c>
      <c r="B101" s="474">
        <f>'2016-2017'!AH97</f>
        <v>2263447.0099999988</v>
      </c>
      <c r="C101" s="484"/>
      <c r="D101" s="485">
        <v>384096.24</v>
      </c>
      <c r="E101" s="485">
        <v>478074.91000000003</v>
      </c>
      <c r="F101" s="485">
        <f>107464.24</f>
        <v>107464.24</v>
      </c>
      <c r="G101" s="490">
        <v>488790.03</v>
      </c>
      <c r="H101" s="485">
        <f>430496.45</f>
        <v>430496.45</v>
      </c>
      <c r="I101" s="474">
        <v>474528.84</v>
      </c>
      <c r="J101" s="485">
        <v>447363.17</v>
      </c>
      <c r="K101" s="485">
        <v>481564.53</v>
      </c>
      <c r="L101" s="485">
        <f>428095.92</f>
        <v>428095.92</v>
      </c>
      <c r="M101" s="485">
        <v>481954.1</v>
      </c>
      <c r="N101" s="485">
        <f>417561.72+427294.36</f>
        <v>844856.08</v>
      </c>
      <c r="O101" s="476">
        <v>365633.09</v>
      </c>
      <c r="P101" s="477"/>
      <c r="Q101" s="477">
        <v>586439.13</v>
      </c>
      <c r="R101" s="477"/>
      <c r="S101" s="477">
        <v>554676.37</v>
      </c>
      <c r="T101" s="477">
        <v>865066.91</v>
      </c>
      <c r="U101" s="477">
        <v>364595.31999999995</v>
      </c>
      <c r="V101" s="477">
        <v>330852.99</v>
      </c>
      <c r="W101" s="477">
        <v>438769.33999999997</v>
      </c>
      <c r="X101" s="477">
        <v>714619.34</v>
      </c>
      <c r="Y101" s="477">
        <v>471354.83</v>
      </c>
      <c r="Z101" s="477"/>
      <c r="AA101" s="477"/>
      <c r="AB101" s="477">
        <v>477810.33</v>
      </c>
      <c r="AC101" s="537"/>
      <c r="AD101" s="537"/>
      <c r="AE101" s="476">
        <f t="shared" si="8"/>
        <v>3374726.4899999984</v>
      </c>
      <c r="AF101" s="520"/>
      <c r="AG101" s="476">
        <v>2263447.0099999988</v>
      </c>
      <c r="AH101" s="484"/>
      <c r="AI101" s="476">
        <f t="shared" si="6"/>
        <v>5664190.8200000003</v>
      </c>
      <c r="AJ101" s="537">
        <f t="shared" si="7"/>
        <v>4552911.34</v>
      </c>
      <c r="AK101" s="476">
        <f t="shared" si="9"/>
        <v>3374726.4899999993</v>
      </c>
      <c r="AL101" s="479" t="s">
        <v>457</v>
      </c>
      <c r="AM101" s="688"/>
      <c r="AN101" s="555"/>
      <c r="AO101" s="688"/>
      <c r="AP101" s="688"/>
      <c r="AQ101" s="688"/>
      <c r="AR101" s="688"/>
      <c r="AS101" s="688"/>
      <c r="AT101" s="688"/>
      <c r="AU101" s="688"/>
      <c r="AV101" s="688"/>
      <c r="AW101" s="688"/>
      <c r="AX101" s="688"/>
      <c r="AY101" s="688"/>
      <c r="AZ101" s="688"/>
      <c r="BA101" s="688"/>
    </row>
    <row r="102" spans="1:53" s="538" customFormat="1" x14ac:dyDescent="0.45">
      <c r="A102" s="517" t="s">
        <v>340</v>
      </c>
      <c r="B102" s="474">
        <f>'2016-2017'!AH99</f>
        <v>383246.36000000034</v>
      </c>
      <c r="C102" s="475"/>
      <c r="D102" s="474"/>
      <c r="E102" s="474">
        <v>639161.64200000011</v>
      </c>
      <c r="F102" s="474">
        <f>383246.36</f>
        <v>383246.36</v>
      </c>
      <c r="G102" s="477">
        <v>541891.64</v>
      </c>
      <c r="H102" s="474">
        <v>639161.64</v>
      </c>
      <c r="I102" s="485">
        <v>537639.93000000005</v>
      </c>
      <c r="J102" s="474">
        <f>541891.64+537639.93</f>
        <v>1079531.57</v>
      </c>
      <c r="K102" s="474">
        <v>536593.67000000004</v>
      </c>
      <c r="L102" s="474"/>
      <c r="M102" s="474">
        <v>522687.37</v>
      </c>
      <c r="N102" s="474">
        <f>536593.67</f>
        <v>536593.67000000004</v>
      </c>
      <c r="O102" s="476"/>
      <c r="P102" s="477">
        <v>522687.37</v>
      </c>
      <c r="Q102" s="477">
        <v>1030196.43</v>
      </c>
      <c r="R102" s="477">
        <v>569576.65</v>
      </c>
      <c r="S102" s="477">
        <v>690356.31</v>
      </c>
      <c r="T102" s="477">
        <v>460619.78</v>
      </c>
      <c r="U102" s="477">
        <v>665901.67000000004</v>
      </c>
      <c r="V102" s="477"/>
      <c r="W102" s="477">
        <v>467524.58</v>
      </c>
      <c r="X102" s="477">
        <v>665901.67000000004</v>
      </c>
      <c r="Y102" s="477">
        <v>596343.80000000005</v>
      </c>
      <c r="Z102" s="477">
        <f>467524.58+596343.8</f>
        <v>1063868.3800000001</v>
      </c>
      <c r="AA102" s="477"/>
      <c r="AB102" s="477">
        <v>558997.53</v>
      </c>
      <c r="AC102" s="537"/>
      <c r="AD102" s="537"/>
      <c r="AE102" s="476">
        <f t="shared" si="8"/>
        <v>1249353.8420000009</v>
      </c>
      <c r="AF102" s="520"/>
      <c r="AG102" s="476">
        <v>383246.36000000034</v>
      </c>
      <c r="AH102" s="475"/>
      <c r="AI102" s="476">
        <f t="shared" ref="AI102:AI115" si="10">E102+G102+I102+K102+M102+O102+Q102+S102+U102+W102+Y102+AA102+AB102+AD102</f>
        <v>6787294.5720000006</v>
      </c>
      <c r="AJ102" s="537">
        <f t="shared" ref="AJ102:AJ114" si="11">D102+F102+H102+J102+L102+N102+P102+R102+T102+V102+X102+Z102+AC102</f>
        <v>5921187.0899999999</v>
      </c>
      <c r="AK102" s="476">
        <f t="shared" si="9"/>
        <v>1249353.8420000011</v>
      </c>
      <c r="AL102" s="479" t="s">
        <v>457</v>
      </c>
      <c r="AM102" s="688"/>
      <c r="AN102" s="555"/>
      <c r="AO102" s="688"/>
      <c r="AP102" s="688"/>
      <c r="AQ102" s="688"/>
      <c r="AR102" s="688"/>
      <c r="AS102" s="688"/>
      <c r="AT102" s="688"/>
      <c r="AU102" s="688"/>
      <c r="AV102" s="688"/>
      <c r="AW102" s="688"/>
      <c r="AX102" s="688"/>
      <c r="AY102" s="688"/>
      <c r="AZ102" s="688"/>
      <c r="BA102" s="688"/>
    </row>
    <row r="103" spans="1:53" s="538" customFormat="1" x14ac:dyDescent="0.45">
      <c r="A103" s="694" t="s">
        <v>341</v>
      </c>
      <c r="B103" s="474">
        <v>34981362.899999999</v>
      </c>
      <c r="C103" s="475">
        <v>12542149.57</v>
      </c>
      <c r="D103" s="474"/>
      <c r="E103" s="474">
        <v>7514672.4900000002</v>
      </c>
      <c r="F103" s="474"/>
      <c r="G103" s="477">
        <v>7528817.5499999998</v>
      </c>
      <c r="H103" s="474"/>
      <c r="I103" s="474">
        <v>6521222.6100000003</v>
      </c>
      <c r="J103" s="485"/>
      <c r="K103" s="485">
        <v>7357948.5899999999</v>
      </c>
      <c r="L103" s="485">
        <f>11126093.57+7406741.44+3571270.75+6058884.03</f>
        <v>28162989.790000003</v>
      </c>
      <c r="M103" s="485">
        <v>6653151.5059999991</v>
      </c>
      <c r="N103" s="485">
        <v>6906388.1600000001</v>
      </c>
      <c r="O103" s="476">
        <v>6480010.2999999998</v>
      </c>
      <c r="P103" s="477">
        <v>6337398.8200000003</v>
      </c>
      <c r="Q103" s="477">
        <v>9109949.7600000016</v>
      </c>
      <c r="R103" s="477"/>
      <c r="S103" s="477">
        <v>7088334.4500000002</v>
      </c>
      <c r="T103" s="477">
        <v>15102882.189999999</v>
      </c>
      <c r="U103" s="477">
        <v>7767660.9399999995</v>
      </c>
      <c r="V103" s="477"/>
      <c r="W103" s="477">
        <v>7786239.0200000005</v>
      </c>
      <c r="X103" s="477"/>
      <c r="Y103" s="477">
        <v>8191431.6600000001</v>
      </c>
      <c r="Z103" s="461">
        <f>14564899.23+7660203.68</f>
        <v>22225102.91</v>
      </c>
      <c r="AA103" s="477"/>
      <c r="AB103" s="477">
        <v>5418235.5499999989</v>
      </c>
      <c r="AC103" s="537"/>
      <c r="AD103" s="537"/>
      <c r="AE103" s="476">
        <f t="shared" si="8"/>
        <v>31122125.885999992</v>
      </c>
      <c r="AF103" s="520"/>
      <c r="AG103" s="476">
        <f>34981362.9</f>
        <v>34981362.899999999</v>
      </c>
      <c r="AH103" s="475">
        <v>12542149.57</v>
      </c>
      <c r="AI103" s="476">
        <f t="shared" si="10"/>
        <v>87417674.425999984</v>
      </c>
      <c r="AJ103" s="537">
        <f t="shared" si="11"/>
        <v>78734761.870000005</v>
      </c>
      <c r="AK103" s="476">
        <f t="shared" si="9"/>
        <v>31122125.885999978</v>
      </c>
      <c r="AL103" s="478" t="s">
        <v>457</v>
      </c>
      <c r="AM103" s="555"/>
      <c r="AN103" s="555"/>
      <c r="AO103" s="688"/>
      <c r="AP103" s="688"/>
      <c r="AQ103" s="688"/>
      <c r="AR103" s="688"/>
      <c r="AS103" s="688"/>
      <c r="AT103" s="688"/>
      <c r="AU103" s="688"/>
      <c r="AV103" s="688"/>
      <c r="AW103" s="688"/>
      <c r="AX103" s="688"/>
      <c r="AY103" s="688"/>
      <c r="AZ103" s="688"/>
      <c r="BA103" s="688"/>
    </row>
    <row r="104" spans="1:53" s="538" customFormat="1" x14ac:dyDescent="0.45">
      <c r="A104" s="517" t="s">
        <v>342</v>
      </c>
      <c r="B104" s="474">
        <f>'2016-2017'!AH101</f>
        <v>0</v>
      </c>
      <c r="C104" s="475"/>
      <c r="D104" s="474"/>
      <c r="E104" s="474">
        <v>0</v>
      </c>
      <c r="F104" s="474"/>
      <c r="G104" s="477"/>
      <c r="H104" s="474"/>
      <c r="I104" s="485"/>
      <c r="J104" s="474"/>
      <c r="K104" s="474"/>
      <c r="L104" s="474"/>
      <c r="M104" s="474"/>
      <c r="N104" s="474"/>
      <c r="O104" s="476"/>
      <c r="P104" s="477"/>
      <c r="Q104" s="477"/>
      <c r="R104" s="477"/>
      <c r="S104" s="477"/>
      <c r="T104" s="477"/>
      <c r="U104" s="477"/>
      <c r="V104" s="477"/>
      <c r="W104" s="477">
        <v>0</v>
      </c>
      <c r="X104" s="477"/>
      <c r="Y104" s="477"/>
      <c r="Z104" s="477"/>
      <c r="AA104" s="477"/>
      <c r="AB104" s="477">
        <v>15275.82</v>
      </c>
      <c r="AC104" s="537"/>
      <c r="AD104" s="537"/>
      <c r="AE104" s="476">
        <f t="shared" si="8"/>
        <v>15275.82</v>
      </c>
      <c r="AF104" s="520"/>
      <c r="AG104" s="476">
        <v>0</v>
      </c>
      <c r="AH104" s="475"/>
      <c r="AI104" s="476">
        <f t="shared" si="10"/>
        <v>15275.82</v>
      </c>
      <c r="AJ104" s="537">
        <f t="shared" si="11"/>
        <v>0</v>
      </c>
      <c r="AK104" s="476">
        <f t="shared" si="9"/>
        <v>15275.82</v>
      </c>
      <c r="AL104" s="479" t="s">
        <v>458</v>
      </c>
      <c r="AM104" s="688"/>
      <c r="AN104" s="555"/>
      <c r="AO104" s="688"/>
      <c r="AP104" s="688"/>
      <c r="AQ104" s="688"/>
      <c r="AR104" s="688"/>
      <c r="AS104" s="688"/>
      <c r="AT104" s="688"/>
      <c r="AU104" s="688"/>
      <c r="AV104" s="688"/>
      <c r="AW104" s="688"/>
      <c r="AX104" s="688"/>
      <c r="AY104" s="688"/>
      <c r="AZ104" s="688"/>
      <c r="BA104" s="688"/>
    </row>
    <row r="105" spans="1:53" s="538" customFormat="1" x14ac:dyDescent="0.45">
      <c r="A105" s="694" t="s">
        <v>369</v>
      </c>
      <c r="B105" s="474">
        <f>'2016-2017'!AH102</f>
        <v>2158.06</v>
      </c>
      <c r="C105" s="484">
        <v>2158.06</v>
      </c>
      <c r="D105" s="485"/>
      <c r="E105" s="485">
        <v>0</v>
      </c>
      <c r="F105" s="485"/>
      <c r="G105" s="490"/>
      <c r="H105" s="485"/>
      <c r="I105" s="485">
        <v>0</v>
      </c>
      <c r="J105" s="485"/>
      <c r="K105" s="485"/>
      <c r="L105" s="485"/>
      <c r="M105" s="485"/>
      <c r="N105" s="485"/>
      <c r="O105" s="476"/>
      <c r="P105" s="477"/>
      <c r="Q105" s="477"/>
      <c r="R105" s="477"/>
      <c r="S105" s="477"/>
      <c r="T105" s="477"/>
      <c r="U105" s="477"/>
      <c r="V105" s="477"/>
      <c r="W105" s="477">
        <v>0</v>
      </c>
      <c r="X105" s="477"/>
      <c r="Y105" s="477">
        <v>526</v>
      </c>
      <c r="Z105" s="477"/>
      <c r="AA105" s="477"/>
      <c r="AB105" s="477">
        <v>0</v>
      </c>
      <c r="AC105" s="537"/>
      <c r="AD105" s="537"/>
      <c r="AE105" s="476">
        <f t="shared" si="8"/>
        <v>526</v>
      </c>
      <c r="AF105" s="520"/>
      <c r="AG105" s="476">
        <v>2158.06</v>
      </c>
      <c r="AH105" s="484">
        <v>2158.06</v>
      </c>
      <c r="AI105" s="476">
        <f t="shared" si="10"/>
        <v>526</v>
      </c>
      <c r="AJ105" s="537">
        <f t="shared" si="11"/>
        <v>0</v>
      </c>
      <c r="AK105" s="476">
        <f t="shared" si="9"/>
        <v>526</v>
      </c>
      <c r="AL105" s="479" t="s">
        <v>458</v>
      </c>
      <c r="AM105" s="688"/>
      <c r="AN105" s="555"/>
      <c r="AO105" s="688"/>
      <c r="AP105" s="688"/>
      <c r="AQ105" s="688"/>
      <c r="AR105" s="688"/>
      <c r="AS105" s="688"/>
      <c r="AT105" s="688"/>
      <c r="AU105" s="688"/>
      <c r="AV105" s="688"/>
      <c r="AW105" s="688"/>
      <c r="AX105" s="688"/>
      <c r="AY105" s="688"/>
      <c r="AZ105" s="688"/>
      <c r="BA105" s="688"/>
    </row>
    <row r="106" spans="1:53" s="538" customFormat="1" x14ac:dyDescent="0.45">
      <c r="A106" s="694" t="s">
        <v>370</v>
      </c>
      <c r="B106" s="474">
        <f>'2016-2017'!AH103</f>
        <v>502886.03999999911</v>
      </c>
      <c r="C106" s="484"/>
      <c r="D106" s="485"/>
      <c r="E106" s="485">
        <v>163662.45000000001</v>
      </c>
      <c r="F106" s="485">
        <v>501410.26</v>
      </c>
      <c r="G106" s="490">
        <v>154868.14000000001</v>
      </c>
      <c r="H106" s="485"/>
      <c r="I106" s="485">
        <v>167787.58000000002</v>
      </c>
      <c r="J106" s="485">
        <f>154868.14+167787.58</f>
        <v>322655.71999999997</v>
      </c>
      <c r="K106" s="485">
        <v>161472.6</v>
      </c>
      <c r="L106" s="485"/>
      <c r="M106" s="485">
        <v>157840.29999999999</v>
      </c>
      <c r="N106" s="485">
        <v>152194.28</v>
      </c>
      <c r="O106" s="476"/>
      <c r="P106" s="477">
        <v>149244.72</v>
      </c>
      <c r="Q106" s="477">
        <v>318413.95999999996</v>
      </c>
      <c r="R106" s="477">
        <v>317520.62</v>
      </c>
      <c r="S106" s="477">
        <v>186604</v>
      </c>
      <c r="T106" s="477">
        <v>120230</v>
      </c>
      <c r="U106" s="477">
        <v>120411.79000000001</v>
      </c>
      <c r="V106" s="477">
        <v>120411.79</v>
      </c>
      <c r="W106" s="477">
        <v>174805.26</v>
      </c>
      <c r="X106" s="477">
        <v>241179.26</v>
      </c>
      <c r="Y106" s="477">
        <v>182846.22</v>
      </c>
      <c r="Z106" s="477">
        <f>182846.22</f>
        <v>182846.22</v>
      </c>
      <c r="AA106" s="477"/>
      <c r="AB106" s="477">
        <v>100798.18999999999</v>
      </c>
      <c r="AC106" s="537"/>
      <c r="AD106" s="537"/>
      <c r="AE106" s="476">
        <f t="shared" si="8"/>
        <v>284703.65999999922</v>
      </c>
      <c r="AF106" s="520"/>
      <c r="AG106" s="476">
        <v>502886.03999999911</v>
      </c>
      <c r="AH106" s="484"/>
      <c r="AI106" s="476">
        <f t="shared" si="10"/>
        <v>1889510.49</v>
      </c>
      <c r="AJ106" s="537">
        <f t="shared" si="11"/>
        <v>2107692.87</v>
      </c>
      <c r="AK106" s="476">
        <f t="shared" si="9"/>
        <v>284703.65999999922</v>
      </c>
      <c r="AL106" s="479" t="s">
        <v>457</v>
      </c>
      <c r="AM106" s="458"/>
      <c r="AN106" s="555"/>
      <c r="AO106" s="688"/>
      <c r="AP106" s="688"/>
      <c r="AQ106" s="688"/>
      <c r="AR106" s="688"/>
      <c r="AS106" s="688"/>
      <c r="AT106" s="688"/>
      <c r="AU106" s="688"/>
      <c r="AV106" s="688"/>
      <c r="AW106" s="688"/>
      <c r="AX106" s="688"/>
      <c r="AY106" s="688"/>
      <c r="AZ106" s="688"/>
      <c r="BA106" s="688"/>
    </row>
    <row r="107" spans="1:53" s="538" customFormat="1" x14ac:dyDescent="0.45">
      <c r="A107" s="694" t="s">
        <v>371</v>
      </c>
      <c r="B107" s="474">
        <f>'2016-2017'!AH104</f>
        <v>281400.20999999996</v>
      </c>
      <c r="C107" s="484">
        <v>381663.62</v>
      </c>
      <c r="D107" s="485"/>
      <c r="E107" s="485">
        <v>35643.43</v>
      </c>
      <c r="F107" s="485"/>
      <c r="G107" s="490">
        <v>32632.21</v>
      </c>
      <c r="H107" s="485"/>
      <c r="I107" s="485">
        <v>30801.22</v>
      </c>
      <c r="J107" s="485"/>
      <c r="K107" s="485">
        <v>1186.55</v>
      </c>
      <c r="L107" s="485"/>
      <c r="M107" s="485"/>
      <c r="N107" s="485"/>
      <c r="O107" s="476"/>
      <c r="P107" s="477"/>
      <c r="Q107" s="477"/>
      <c r="R107" s="477"/>
      <c r="S107" s="477"/>
      <c r="T107" s="477"/>
      <c r="U107" s="477"/>
      <c r="V107" s="477"/>
      <c r="W107" s="477">
        <v>0</v>
      </c>
      <c r="X107" s="477"/>
      <c r="Y107" s="477"/>
      <c r="Z107" s="477"/>
      <c r="AA107" s="477"/>
      <c r="AB107" s="477">
        <v>-208586.86000000004</v>
      </c>
      <c r="AC107" s="537"/>
      <c r="AD107" s="537"/>
      <c r="AE107" s="476">
        <f t="shared" si="8"/>
        <v>-208586.86000000007</v>
      </c>
      <c r="AF107" s="520"/>
      <c r="AG107" s="476">
        <v>281400.20999999996</v>
      </c>
      <c r="AH107" s="484">
        <v>381663.62</v>
      </c>
      <c r="AI107" s="476">
        <f t="shared" si="10"/>
        <v>-108323.45000000004</v>
      </c>
      <c r="AJ107" s="537">
        <f t="shared" si="11"/>
        <v>0</v>
      </c>
      <c r="AK107" s="476">
        <f t="shared" si="9"/>
        <v>-208586.86000000007</v>
      </c>
      <c r="AL107" s="479" t="s">
        <v>458</v>
      </c>
      <c r="AM107" s="458"/>
      <c r="AN107" s="555"/>
      <c r="AO107" s="688"/>
      <c r="AP107" s="688"/>
      <c r="AQ107" s="688"/>
      <c r="AR107" s="688"/>
      <c r="AS107" s="688"/>
      <c r="AT107" s="688"/>
      <c r="AU107" s="688"/>
      <c r="AV107" s="688"/>
      <c r="AW107" s="688"/>
      <c r="AX107" s="688"/>
      <c r="AY107" s="688"/>
      <c r="AZ107" s="688"/>
      <c r="BA107" s="688"/>
    </row>
    <row r="108" spans="1:53" s="538" customFormat="1" x14ac:dyDescent="0.45">
      <c r="A108" s="694" t="s">
        <v>372</v>
      </c>
      <c r="B108" s="474">
        <f>'2016-2017'!AH105</f>
        <v>0</v>
      </c>
      <c r="C108" s="484"/>
      <c r="D108" s="485"/>
      <c r="E108" s="485">
        <v>0</v>
      </c>
      <c r="F108" s="485"/>
      <c r="G108" s="490"/>
      <c r="H108" s="485"/>
      <c r="I108" s="485">
        <v>0</v>
      </c>
      <c r="J108" s="485"/>
      <c r="K108" s="485"/>
      <c r="L108" s="485"/>
      <c r="M108" s="485"/>
      <c r="N108" s="485"/>
      <c r="O108" s="476"/>
      <c r="P108" s="477"/>
      <c r="Q108" s="477"/>
      <c r="R108" s="477"/>
      <c r="S108" s="477"/>
      <c r="T108" s="477"/>
      <c r="U108" s="477"/>
      <c r="V108" s="477"/>
      <c r="W108" s="477">
        <v>0</v>
      </c>
      <c r="X108" s="477"/>
      <c r="Y108" s="477"/>
      <c r="Z108" s="477"/>
      <c r="AA108" s="477"/>
      <c r="AB108" s="477">
        <v>0</v>
      </c>
      <c r="AC108" s="537"/>
      <c r="AD108" s="537"/>
      <c r="AE108" s="476">
        <f t="shared" si="8"/>
        <v>0</v>
      </c>
      <c r="AF108" s="520"/>
      <c r="AG108" s="476">
        <v>0</v>
      </c>
      <c r="AH108" s="484"/>
      <c r="AI108" s="476">
        <f t="shared" si="10"/>
        <v>0</v>
      </c>
      <c r="AJ108" s="537">
        <f t="shared" si="11"/>
        <v>0</v>
      </c>
      <c r="AK108" s="476">
        <f t="shared" si="9"/>
        <v>0</v>
      </c>
      <c r="AL108" s="479" t="s">
        <v>458</v>
      </c>
      <c r="AM108" s="688"/>
      <c r="AN108" s="555"/>
      <c r="AO108" s="688"/>
      <c r="AP108" s="688"/>
      <c r="AQ108" s="688"/>
      <c r="AR108" s="688"/>
      <c r="AS108" s="688"/>
      <c r="AT108" s="688"/>
      <c r="AU108" s="688"/>
      <c r="AV108" s="688"/>
      <c r="AW108" s="688"/>
      <c r="AX108" s="688"/>
      <c r="AY108" s="688"/>
      <c r="AZ108" s="688"/>
      <c r="BA108" s="688"/>
    </row>
    <row r="109" spans="1:53" x14ac:dyDescent="0.45">
      <c r="A109" s="694" t="s">
        <v>373</v>
      </c>
      <c r="B109" s="474">
        <f>'2016-2017'!AH106</f>
        <v>0</v>
      </c>
      <c r="C109" s="484"/>
      <c r="D109" s="485"/>
      <c r="E109" s="485">
        <v>0</v>
      </c>
      <c r="F109" s="485"/>
      <c r="G109" s="490"/>
      <c r="H109" s="485"/>
      <c r="I109" s="485">
        <v>0</v>
      </c>
      <c r="J109" s="485"/>
      <c r="K109" s="485"/>
      <c r="L109" s="485"/>
      <c r="M109" s="485"/>
      <c r="N109" s="485"/>
      <c r="O109" s="476"/>
      <c r="P109" s="477"/>
      <c r="Q109" s="477"/>
      <c r="R109" s="477"/>
      <c r="S109" s="477"/>
      <c r="T109" s="477"/>
      <c r="U109" s="477"/>
      <c r="V109" s="477"/>
      <c r="W109" s="477">
        <v>0</v>
      </c>
      <c r="X109" s="477"/>
      <c r="Y109" s="477"/>
      <c r="Z109" s="477"/>
      <c r="AA109" s="477"/>
      <c r="AB109" s="477">
        <v>0</v>
      </c>
      <c r="AC109" s="537"/>
      <c r="AD109" s="537"/>
      <c r="AE109" s="476">
        <f t="shared" si="8"/>
        <v>0</v>
      </c>
      <c r="AF109" s="520"/>
      <c r="AG109" s="476">
        <v>0</v>
      </c>
      <c r="AH109" s="484"/>
      <c r="AI109" s="476">
        <f t="shared" si="10"/>
        <v>0</v>
      </c>
      <c r="AJ109" s="537">
        <f t="shared" si="11"/>
        <v>0</v>
      </c>
      <c r="AK109" s="476">
        <f t="shared" si="9"/>
        <v>0</v>
      </c>
      <c r="AL109" s="479" t="s">
        <v>458</v>
      </c>
      <c r="AM109" s="688"/>
      <c r="AN109" s="555"/>
      <c r="AO109" s="688"/>
      <c r="AP109" s="688"/>
      <c r="AQ109" s="688"/>
      <c r="AR109" s="688"/>
      <c r="AS109" s="688"/>
      <c r="AT109" s="688"/>
      <c r="AU109" s="688"/>
      <c r="AV109" s="688"/>
      <c r="AW109" s="688"/>
      <c r="AX109" s="688"/>
      <c r="AY109" s="688"/>
      <c r="AZ109" s="688"/>
      <c r="BA109" s="688"/>
    </row>
    <row r="110" spans="1:53" x14ac:dyDescent="0.45">
      <c r="A110" s="694" t="s">
        <v>374</v>
      </c>
      <c r="B110" s="474">
        <f>'2016-2017'!AH107</f>
        <v>0</v>
      </c>
      <c r="C110" s="484"/>
      <c r="D110" s="485"/>
      <c r="E110" s="485">
        <v>0</v>
      </c>
      <c r="F110" s="485"/>
      <c r="G110" s="490"/>
      <c r="H110" s="485"/>
      <c r="I110" s="485">
        <v>0</v>
      </c>
      <c r="J110" s="485"/>
      <c r="K110" s="485"/>
      <c r="L110" s="485"/>
      <c r="M110" s="485"/>
      <c r="N110" s="485"/>
      <c r="O110" s="476"/>
      <c r="P110" s="477"/>
      <c r="Q110" s="477"/>
      <c r="R110" s="477"/>
      <c r="S110" s="477"/>
      <c r="T110" s="477"/>
      <c r="U110" s="477"/>
      <c r="V110" s="477"/>
      <c r="W110" s="477">
        <v>0</v>
      </c>
      <c r="X110" s="477"/>
      <c r="Y110" s="477"/>
      <c r="Z110" s="477"/>
      <c r="AA110" s="477"/>
      <c r="AB110" s="477">
        <v>0</v>
      </c>
      <c r="AC110" s="537"/>
      <c r="AD110" s="537"/>
      <c r="AE110" s="476">
        <f t="shared" si="8"/>
        <v>0</v>
      </c>
      <c r="AF110" s="520"/>
      <c r="AG110" s="476">
        <v>0</v>
      </c>
      <c r="AH110" s="484"/>
      <c r="AI110" s="476">
        <f t="shared" si="10"/>
        <v>0</v>
      </c>
      <c r="AJ110" s="537">
        <f t="shared" si="11"/>
        <v>0</v>
      </c>
      <c r="AK110" s="476">
        <f t="shared" si="9"/>
        <v>0</v>
      </c>
      <c r="AL110" s="479" t="s">
        <v>458</v>
      </c>
      <c r="AM110" s="688"/>
      <c r="AN110" s="555"/>
      <c r="AO110" s="688"/>
      <c r="AP110" s="688"/>
      <c r="AQ110" s="688"/>
      <c r="AR110" s="688"/>
      <c r="AS110" s="688"/>
      <c r="AT110" s="688"/>
      <c r="AU110" s="688"/>
      <c r="AV110" s="688"/>
      <c r="AW110" s="688"/>
      <c r="AX110" s="688"/>
      <c r="AY110" s="688"/>
      <c r="AZ110" s="688"/>
      <c r="BA110" s="688"/>
    </row>
    <row r="111" spans="1:53" x14ac:dyDescent="0.45">
      <c r="A111" s="694" t="s">
        <v>435</v>
      </c>
      <c r="B111" s="474">
        <f>'2016-2017'!AH108</f>
        <v>-39944.120000000003</v>
      </c>
      <c r="C111" s="484"/>
      <c r="D111" s="485"/>
      <c r="E111" s="485">
        <v>0</v>
      </c>
      <c r="F111" s="485"/>
      <c r="G111" s="490"/>
      <c r="H111" s="485"/>
      <c r="I111" s="485">
        <v>0</v>
      </c>
      <c r="J111" s="485"/>
      <c r="K111" s="485"/>
      <c r="L111" s="485"/>
      <c r="M111" s="485"/>
      <c r="N111" s="485"/>
      <c r="O111" s="476"/>
      <c r="P111" s="477"/>
      <c r="Q111" s="477"/>
      <c r="R111" s="477"/>
      <c r="S111" s="477"/>
      <c r="T111" s="477"/>
      <c r="U111" s="477"/>
      <c r="V111" s="477"/>
      <c r="W111" s="477">
        <v>0</v>
      </c>
      <c r="X111" s="477"/>
      <c r="Y111" s="477"/>
      <c r="Z111" s="477"/>
      <c r="AA111" s="477"/>
      <c r="AB111" s="477">
        <v>0</v>
      </c>
      <c r="AC111" s="537"/>
      <c r="AD111" s="537"/>
      <c r="AE111" s="476">
        <f t="shared" si="8"/>
        <v>-39944.120000000003</v>
      </c>
      <c r="AF111" s="520"/>
      <c r="AG111" s="476">
        <v>-39944.120000000003</v>
      </c>
      <c r="AH111" s="484"/>
      <c r="AI111" s="476">
        <f t="shared" si="10"/>
        <v>0</v>
      </c>
      <c r="AJ111" s="537">
        <f t="shared" si="11"/>
        <v>0</v>
      </c>
      <c r="AK111" s="476">
        <f t="shared" si="9"/>
        <v>-39944.120000000003</v>
      </c>
      <c r="AL111" s="479" t="s">
        <v>458</v>
      </c>
      <c r="AM111" s="688"/>
      <c r="AN111" s="555"/>
      <c r="AO111" s="688"/>
      <c r="AP111" s="688"/>
      <c r="AQ111" s="688"/>
      <c r="AR111" s="688"/>
      <c r="AS111" s="688"/>
      <c r="AT111" s="688"/>
      <c r="AU111" s="688"/>
      <c r="AV111" s="688"/>
      <c r="AW111" s="688"/>
      <c r="AX111" s="688"/>
      <c r="AY111" s="688"/>
      <c r="AZ111" s="688"/>
      <c r="BA111" s="688"/>
    </row>
    <row r="112" spans="1:53" x14ac:dyDescent="0.45">
      <c r="A112" s="694" t="s">
        <v>438</v>
      </c>
      <c r="B112" s="474">
        <f>'2016-2017'!AH110</f>
        <v>-1120862.76</v>
      </c>
      <c r="C112" s="484"/>
      <c r="D112" s="485"/>
      <c r="E112" s="485">
        <v>0</v>
      </c>
      <c r="F112" s="485"/>
      <c r="G112" s="490"/>
      <c r="H112" s="485"/>
      <c r="I112" s="485">
        <v>0</v>
      </c>
      <c r="J112" s="485"/>
      <c r="K112" s="485"/>
      <c r="L112" s="485"/>
      <c r="M112" s="485"/>
      <c r="N112" s="485"/>
      <c r="O112" s="476"/>
      <c r="P112" s="477"/>
      <c r="Q112" s="477"/>
      <c r="R112" s="477"/>
      <c r="S112" s="477"/>
      <c r="T112" s="477"/>
      <c r="U112" s="477"/>
      <c r="V112" s="477"/>
      <c r="W112" s="477">
        <v>0</v>
      </c>
      <c r="X112" s="477"/>
      <c r="Y112" s="477"/>
      <c r="Z112" s="477"/>
      <c r="AA112" s="477"/>
      <c r="AB112" s="477">
        <v>0</v>
      </c>
      <c r="AC112" s="537"/>
      <c r="AD112" s="537"/>
      <c r="AE112" s="476">
        <f t="shared" si="8"/>
        <v>-1120862.76</v>
      </c>
      <c r="AF112" s="520"/>
      <c r="AG112" s="476">
        <v>-1120862.76</v>
      </c>
      <c r="AH112" s="484"/>
      <c r="AI112" s="476">
        <f t="shared" si="10"/>
        <v>0</v>
      </c>
      <c r="AJ112" s="537">
        <f t="shared" si="11"/>
        <v>0</v>
      </c>
      <c r="AK112" s="476">
        <f t="shared" si="9"/>
        <v>-1120862.76</v>
      </c>
      <c r="AL112" s="479" t="s">
        <v>458</v>
      </c>
      <c r="AM112" s="688"/>
      <c r="AN112" s="555"/>
      <c r="AO112" s="688"/>
      <c r="AP112" s="688"/>
      <c r="AQ112" s="688"/>
      <c r="AR112" s="688"/>
      <c r="AS112" s="688"/>
      <c r="AT112" s="688"/>
      <c r="AU112" s="688"/>
      <c r="AV112" s="688"/>
      <c r="AW112" s="688"/>
      <c r="AX112" s="688"/>
      <c r="AY112" s="688"/>
      <c r="AZ112" s="688"/>
      <c r="BA112" s="688"/>
    </row>
    <row r="113" spans="1:53" x14ac:dyDescent="0.45">
      <c r="A113" s="694" t="s">
        <v>439</v>
      </c>
      <c r="B113" s="474">
        <f>'2016-2017'!AH111</f>
        <v>-22627.39</v>
      </c>
      <c r="C113" s="484"/>
      <c r="D113" s="485"/>
      <c r="E113" s="485">
        <v>0</v>
      </c>
      <c r="F113" s="485"/>
      <c r="G113" s="490"/>
      <c r="H113" s="485"/>
      <c r="I113" s="474">
        <v>0</v>
      </c>
      <c r="J113" s="485"/>
      <c r="K113" s="485"/>
      <c r="L113" s="485"/>
      <c r="M113" s="485"/>
      <c r="N113" s="485"/>
      <c r="O113" s="476"/>
      <c r="P113" s="477"/>
      <c r="Q113" s="477"/>
      <c r="R113" s="477"/>
      <c r="S113" s="477"/>
      <c r="T113" s="477"/>
      <c r="U113" s="477"/>
      <c r="V113" s="477"/>
      <c r="W113" s="477">
        <v>0</v>
      </c>
      <c r="X113" s="477"/>
      <c r="Y113" s="477">
        <v>823.63</v>
      </c>
      <c r="Z113" s="477"/>
      <c r="AA113" s="477"/>
      <c r="AB113" s="477">
        <v>0</v>
      </c>
      <c r="AC113" s="537"/>
      <c r="AD113" s="537"/>
      <c r="AE113" s="476">
        <f t="shared" si="8"/>
        <v>-21803.759999999998</v>
      </c>
      <c r="AF113" s="520"/>
      <c r="AG113" s="476">
        <v>-22627.39</v>
      </c>
      <c r="AH113" s="484"/>
      <c r="AI113" s="476">
        <f t="shared" si="10"/>
        <v>823.63</v>
      </c>
      <c r="AJ113" s="537">
        <f t="shared" si="11"/>
        <v>0</v>
      </c>
      <c r="AK113" s="476">
        <f t="shared" si="9"/>
        <v>-21803.759999999998</v>
      </c>
      <c r="AL113" s="479" t="s">
        <v>458</v>
      </c>
      <c r="AM113" s="688"/>
      <c r="AN113" s="555"/>
      <c r="AO113" s="688"/>
      <c r="AP113" s="688"/>
      <c r="AQ113" s="688"/>
      <c r="AR113" s="688"/>
      <c r="AS113" s="688"/>
      <c r="AT113" s="688"/>
      <c r="AU113" s="688"/>
      <c r="AV113" s="688"/>
      <c r="AW113" s="688"/>
      <c r="AX113" s="688"/>
      <c r="AY113" s="688"/>
      <c r="AZ113" s="688"/>
      <c r="BA113" s="688"/>
    </row>
    <row r="114" spans="1:53" x14ac:dyDescent="0.45">
      <c r="A114" s="517" t="s">
        <v>343</v>
      </c>
      <c r="B114" s="474">
        <f>'2016-2017'!AH112</f>
        <v>231595.86</v>
      </c>
      <c r="C114" s="475"/>
      <c r="D114" s="474"/>
      <c r="E114" s="474">
        <v>89514.6</v>
      </c>
      <c r="F114" s="474">
        <v>74853.919999999998</v>
      </c>
      <c r="G114" s="477">
        <v>71494.47</v>
      </c>
      <c r="H114" s="474"/>
      <c r="I114" s="474">
        <v>63744.15</v>
      </c>
      <c r="J114" s="474">
        <v>362175.93</v>
      </c>
      <c r="K114" s="474">
        <v>74845.98</v>
      </c>
      <c r="L114" s="474"/>
      <c r="M114" s="474">
        <v>75843.41</v>
      </c>
      <c r="N114" s="474"/>
      <c r="O114" s="474"/>
      <c r="P114" s="477">
        <v>150689.39000000001</v>
      </c>
      <c r="Q114" s="477">
        <v>154999.31</v>
      </c>
      <c r="R114" s="477">
        <v>154999.31</v>
      </c>
      <c r="S114" s="477">
        <v>91928.040000000008</v>
      </c>
      <c r="T114" s="477"/>
      <c r="U114" s="477">
        <v>62201.24</v>
      </c>
      <c r="V114" s="477"/>
      <c r="W114" s="477">
        <v>74960.86</v>
      </c>
      <c r="X114" s="477">
        <v>74960.86</v>
      </c>
      <c r="Y114" s="477">
        <v>107734.95000000001</v>
      </c>
      <c r="Z114" s="477"/>
      <c r="AA114" s="477"/>
      <c r="AB114" s="477">
        <v>102467.09000000003</v>
      </c>
      <c r="AC114" s="537"/>
      <c r="AD114" s="537"/>
      <c r="AE114" s="476">
        <f t="shared" si="8"/>
        <v>383650.5500000001</v>
      </c>
      <c r="AF114" s="520"/>
      <c r="AG114" s="476">
        <v>231595.86</v>
      </c>
      <c r="AH114" s="475"/>
      <c r="AI114" s="476">
        <f t="shared" si="10"/>
        <v>969734.10000000009</v>
      </c>
      <c r="AJ114" s="537">
        <f t="shared" si="11"/>
        <v>817679.41</v>
      </c>
      <c r="AK114" s="476">
        <f t="shared" si="9"/>
        <v>383650.54999999993</v>
      </c>
      <c r="AL114" s="479" t="s">
        <v>457</v>
      </c>
      <c r="AM114" s="688"/>
      <c r="AN114" s="555"/>
      <c r="AO114" s="688"/>
      <c r="AP114" s="688"/>
      <c r="AQ114" s="688"/>
      <c r="AR114" s="688"/>
      <c r="AS114" s="688"/>
      <c r="AT114" s="688"/>
      <c r="AU114" s="688"/>
      <c r="AV114" s="688"/>
      <c r="AW114" s="688"/>
      <c r="AX114" s="688"/>
      <c r="AY114" s="688"/>
      <c r="AZ114" s="688"/>
      <c r="BA114" s="688"/>
    </row>
    <row r="115" spans="1:53" x14ac:dyDescent="0.45">
      <c r="A115" s="694" t="s">
        <v>463</v>
      </c>
      <c r="B115" s="474"/>
      <c r="C115" s="484"/>
      <c r="D115" s="485"/>
      <c r="E115" s="485"/>
      <c r="F115" s="485"/>
      <c r="G115" s="490"/>
      <c r="H115" s="485"/>
      <c r="I115" s="487"/>
      <c r="J115" s="485"/>
      <c r="K115" s="485"/>
      <c r="L115" s="485"/>
      <c r="M115" s="485"/>
      <c r="N115" s="485"/>
      <c r="O115" s="485"/>
      <c r="P115" s="490"/>
      <c r="Q115" s="490"/>
      <c r="R115" s="490"/>
      <c r="S115" s="490"/>
      <c r="T115" s="490"/>
      <c r="U115" s="490"/>
      <c r="V115" s="490"/>
      <c r="W115" s="490"/>
      <c r="X115" s="490"/>
      <c r="Y115" s="461">
        <v>2509.75</v>
      </c>
      <c r="Z115" s="490"/>
      <c r="AA115" s="490"/>
      <c r="AB115" s="490">
        <v>0</v>
      </c>
      <c r="AC115" s="550"/>
      <c r="AD115" s="550"/>
      <c r="AE115" s="476">
        <f t="shared" si="8"/>
        <v>2509.75</v>
      </c>
      <c r="AF115" s="520"/>
      <c r="AG115" s="476">
        <v>0</v>
      </c>
      <c r="AH115" s="484"/>
      <c r="AI115" s="476">
        <f t="shared" si="10"/>
        <v>2509.75</v>
      </c>
      <c r="AJ115" s="537"/>
      <c r="AK115" s="476">
        <f t="shared" si="9"/>
        <v>2509.75</v>
      </c>
      <c r="AL115" s="491"/>
      <c r="AM115" s="688"/>
      <c r="AN115" s="555"/>
      <c r="AO115" s="688"/>
      <c r="AP115" s="688"/>
      <c r="AQ115" s="688"/>
      <c r="AR115" s="688"/>
      <c r="AS115" s="688"/>
      <c r="AT115" s="688"/>
      <c r="AU115" s="688"/>
      <c r="AV115" s="688"/>
      <c r="AW115" s="688"/>
      <c r="AX115" s="688"/>
      <c r="AY115" s="688"/>
      <c r="AZ115" s="688"/>
      <c r="BA115" s="688"/>
    </row>
    <row r="116" spans="1:53" x14ac:dyDescent="0.45">
      <c r="A116" s="694" t="s">
        <v>464</v>
      </c>
      <c r="B116" s="485"/>
      <c r="C116" s="484"/>
      <c r="D116" s="485"/>
      <c r="E116" s="485"/>
      <c r="F116" s="485"/>
      <c r="G116" s="490"/>
      <c r="H116" s="485"/>
      <c r="I116" s="474"/>
      <c r="J116" s="485"/>
      <c r="K116" s="485"/>
      <c r="L116" s="485"/>
      <c r="M116" s="485"/>
      <c r="N116" s="485"/>
      <c r="O116" s="485"/>
      <c r="P116" s="490"/>
      <c r="Q116" s="490"/>
      <c r="R116" s="490"/>
      <c r="S116" s="490"/>
      <c r="T116" s="490"/>
      <c r="U116" s="490"/>
      <c r="V116" s="490"/>
      <c r="W116" s="490">
        <v>79868.539999999994</v>
      </c>
      <c r="X116" s="490"/>
      <c r="Y116" s="490"/>
      <c r="Z116" s="490"/>
      <c r="AA116" s="490"/>
      <c r="AB116" s="490">
        <v>0</v>
      </c>
      <c r="AC116" s="550"/>
      <c r="AD116" s="550"/>
      <c r="AE116" s="488">
        <f t="shared" si="8"/>
        <v>79868.539999999994</v>
      </c>
      <c r="AF116" s="520"/>
      <c r="AG116" s="488"/>
      <c r="AH116" s="484"/>
      <c r="AI116" s="488">
        <v>79868.539999999994</v>
      </c>
      <c r="AJ116" s="550"/>
      <c r="AK116" s="476">
        <f t="shared" si="9"/>
        <v>79868.539999999994</v>
      </c>
      <c r="AL116" s="491"/>
      <c r="AM116" s="688"/>
      <c r="AN116" s="555"/>
      <c r="AO116" s="688"/>
      <c r="AP116" s="688"/>
      <c r="AQ116" s="688"/>
      <c r="AR116" s="688"/>
      <c r="AS116" s="688"/>
      <c r="AT116" s="688"/>
      <c r="AU116" s="688"/>
      <c r="AV116" s="688"/>
      <c r="AW116" s="688"/>
      <c r="AX116" s="688"/>
      <c r="AY116" s="688"/>
      <c r="AZ116" s="688"/>
      <c r="BA116" s="688"/>
    </row>
    <row r="117" spans="1:53" x14ac:dyDescent="0.45">
      <c r="A117" s="517" t="s">
        <v>441</v>
      </c>
      <c r="B117" s="474">
        <f>'2016-2017'!AH113</f>
        <v>-135954.03000000003</v>
      </c>
      <c r="C117" s="475"/>
      <c r="D117" s="474"/>
      <c r="E117" s="474">
        <v>0</v>
      </c>
      <c r="F117" s="474"/>
      <c r="G117" s="477"/>
      <c r="H117" s="474"/>
      <c r="I117" s="474">
        <v>0</v>
      </c>
      <c r="J117" s="474"/>
      <c r="K117" s="474"/>
      <c r="L117" s="474"/>
      <c r="M117" s="474"/>
      <c r="N117" s="474"/>
      <c r="O117" s="474"/>
      <c r="P117" s="477"/>
      <c r="Q117" s="477"/>
      <c r="R117" s="477"/>
      <c r="S117" s="477"/>
      <c r="T117" s="477"/>
      <c r="U117" s="477"/>
      <c r="V117" s="477"/>
      <c r="W117" s="477">
        <v>0</v>
      </c>
      <c r="X117" s="477"/>
      <c r="Y117" s="477"/>
      <c r="Z117" s="477"/>
      <c r="AA117" s="477"/>
      <c r="AB117" s="477">
        <v>0</v>
      </c>
      <c r="AC117" s="477"/>
      <c r="AD117" s="477"/>
      <c r="AE117" s="474">
        <f t="shared" si="8"/>
        <v>-135954.03000000003</v>
      </c>
      <c r="AF117" s="520"/>
      <c r="AG117" s="474">
        <v>-135954.03000000003</v>
      </c>
      <c r="AH117" s="475"/>
      <c r="AI117" s="474">
        <f>E117+G117+I117+K117+M117+O117+Q117+S117+U117+W117+Y117+AA117+AB117+AD117</f>
        <v>0</v>
      </c>
      <c r="AJ117" s="477">
        <f>D117+F117+H117+J117+L117+N117+P117+R117+T117+V117+X117+Z117+AC117</f>
        <v>0</v>
      </c>
      <c r="AK117" s="476">
        <f t="shared" si="9"/>
        <v>-135954.03000000003</v>
      </c>
      <c r="AL117" s="479" t="s">
        <v>458</v>
      </c>
      <c r="AM117" s="688"/>
      <c r="AN117" s="555"/>
      <c r="AO117" s="688"/>
      <c r="AP117" s="688"/>
      <c r="AQ117" s="688"/>
      <c r="AR117" s="688"/>
      <c r="AS117" s="688"/>
      <c r="AT117" s="688"/>
      <c r="AU117" s="688"/>
      <c r="AV117" s="688"/>
      <c r="AW117" s="688"/>
      <c r="AX117" s="688"/>
      <c r="AY117" s="688"/>
      <c r="AZ117" s="688"/>
      <c r="BA117" s="688"/>
    </row>
    <row r="118" spans="1:53" s="560" customFormat="1" x14ac:dyDescent="0.45">
      <c r="A118" s="266" t="s">
        <v>465</v>
      </c>
      <c r="B118" s="565"/>
      <c r="C118" s="566"/>
      <c r="D118" s="565"/>
      <c r="E118" s="565"/>
      <c r="F118" s="565"/>
      <c r="G118" s="546"/>
      <c r="H118" s="565"/>
      <c r="I118" s="565"/>
      <c r="J118" s="565"/>
      <c r="K118" s="565"/>
      <c r="L118" s="565"/>
      <c r="M118" s="565"/>
      <c r="N118" s="565"/>
      <c r="O118" s="565"/>
      <c r="P118" s="546"/>
      <c r="Q118" s="546"/>
      <c r="R118" s="546"/>
      <c r="S118" s="546"/>
      <c r="T118" s="546"/>
      <c r="U118" s="546"/>
      <c r="V118" s="546"/>
      <c r="W118" s="546"/>
      <c r="X118" s="546"/>
      <c r="Y118" s="546"/>
      <c r="Z118" s="546"/>
      <c r="AA118" s="546"/>
      <c r="AB118" s="546">
        <v>30474.28</v>
      </c>
      <c r="AC118" s="477"/>
      <c r="AD118" s="477"/>
      <c r="AE118" s="474">
        <f t="shared" si="8"/>
        <v>30474.28</v>
      </c>
      <c r="AF118" s="520"/>
      <c r="AG118" s="474"/>
      <c r="AH118" s="566"/>
      <c r="AI118" s="474">
        <f>E118+G118+I118+K118+M118+O118+Q118+S118+U118+W118+Y118+AA118+AB118+AD118</f>
        <v>30474.28</v>
      </c>
      <c r="AJ118" s="477">
        <f>D118+F118+H118+J118+L118+N118+P118+R118+T118+V118+X118+Z118+AC118</f>
        <v>0</v>
      </c>
      <c r="AK118" s="476">
        <f t="shared" si="9"/>
        <v>30474.28</v>
      </c>
      <c r="AL118" s="479"/>
      <c r="AM118" s="688"/>
      <c r="AN118" s="555"/>
      <c r="AO118" s="688"/>
      <c r="AP118" s="688"/>
      <c r="AQ118" s="688"/>
      <c r="AR118" s="688"/>
      <c r="AS118" s="688"/>
      <c r="AT118" s="688"/>
      <c r="AU118" s="688"/>
      <c r="AV118" s="688"/>
      <c r="AW118" s="688"/>
      <c r="AX118" s="688"/>
      <c r="AY118" s="688"/>
      <c r="AZ118" s="688"/>
      <c r="BA118" s="688"/>
    </row>
    <row r="119" spans="1:53" s="560" customFormat="1" ht="19" thickBot="1" x14ac:dyDescent="0.5">
      <c r="A119" s="567" t="s">
        <v>466</v>
      </c>
      <c r="B119" s="568"/>
      <c r="C119" s="569"/>
      <c r="D119" s="568"/>
      <c r="E119" s="568"/>
      <c r="F119" s="568"/>
      <c r="G119" s="570"/>
      <c r="H119" s="568"/>
      <c r="I119" s="568"/>
      <c r="J119" s="568"/>
      <c r="K119" s="568"/>
      <c r="L119" s="568"/>
      <c r="M119" s="568"/>
      <c r="N119" s="568"/>
      <c r="O119" s="568"/>
      <c r="P119" s="570"/>
      <c r="Q119" s="570"/>
      <c r="R119" s="570"/>
      <c r="S119" s="570"/>
      <c r="T119" s="570"/>
      <c r="U119" s="570"/>
      <c r="V119" s="570"/>
      <c r="W119" s="570"/>
      <c r="X119" s="570"/>
      <c r="Y119" s="570"/>
      <c r="Z119" s="570"/>
      <c r="AA119" s="570"/>
      <c r="AB119" s="570">
        <v>5699.92</v>
      </c>
      <c r="AC119" s="490"/>
      <c r="AD119" s="490"/>
      <c r="AE119" s="474">
        <f t="shared" si="8"/>
        <v>5699.92</v>
      </c>
      <c r="AF119" s="520"/>
      <c r="AG119" s="485"/>
      <c r="AH119" s="569"/>
      <c r="AI119" s="474">
        <f>E119+G119+I119+K119+M119+O119+Q119+S119+U119+W119+Y119+AA119+AB119+AD119</f>
        <v>5699.92</v>
      </c>
      <c r="AJ119" s="477">
        <f>D119+F119+H119+J119+L119+N119+P119+R119+T119+V119+X119+Z119+AC119</f>
        <v>0</v>
      </c>
      <c r="AK119" s="476">
        <f t="shared" si="9"/>
        <v>5699.92</v>
      </c>
      <c r="AL119" s="479"/>
      <c r="AM119" s="688"/>
      <c r="AN119" s="555"/>
      <c r="AO119" s="688"/>
      <c r="AP119" s="688"/>
      <c r="AQ119" s="688"/>
      <c r="AR119" s="688"/>
      <c r="AS119" s="688"/>
      <c r="AT119" s="688"/>
      <c r="AU119" s="688"/>
      <c r="AV119" s="688"/>
      <c r="AW119" s="688"/>
      <c r="AX119" s="688"/>
      <c r="AY119" s="688"/>
      <c r="AZ119" s="688"/>
      <c r="BA119" s="688"/>
    </row>
    <row r="120" spans="1:53" ht="19" thickBot="1" x14ac:dyDescent="0.5">
      <c r="A120" s="695" t="s">
        <v>6</v>
      </c>
      <c r="B120" s="494">
        <f>SUM(B6:B117)</f>
        <v>269176147.61500013</v>
      </c>
      <c r="C120" s="493">
        <f>SUM(C6:C119)</f>
        <v>42154113.649999976</v>
      </c>
      <c r="D120" s="494">
        <f>SUM(D6:D114)</f>
        <v>67578062.369999975</v>
      </c>
      <c r="E120" s="494">
        <f>SUM(E6:E117)</f>
        <v>64091296.492000006</v>
      </c>
      <c r="F120" s="494">
        <f>SUM(F6:F114)</f>
        <v>36191552</v>
      </c>
      <c r="G120" s="526">
        <f>SUM(G6:G114)</f>
        <v>64657620.539999999</v>
      </c>
      <c r="H120" s="494">
        <f>SUM(H6:H114)</f>
        <v>36696598.989999995</v>
      </c>
      <c r="I120" s="494">
        <f>SUM(I6:I114)</f>
        <v>62541093.720000014</v>
      </c>
      <c r="J120" s="494">
        <f>SUM(J6:J117)</f>
        <v>59733118.810000002</v>
      </c>
      <c r="K120" s="494">
        <f>SUM(K6:K117)</f>
        <v>63147398.998300001</v>
      </c>
      <c r="L120" s="494">
        <f>SUM(L6:L117)</f>
        <v>90958699.559999987</v>
      </c>
      <c r="M120" s="494">
        <f>SUM(M6:M117)</f>
        <v>62870931.51259999</v>
      </c>
      <c r="N120" s="494">
        <f>SUM(N6:N117)</f>
        <v>42104307.439999998</v>
      </c>
      <c r="O120" s="494">
        <v>49419537.599999994</v>
      </c>
      <c r="P120" s="526">
        <f>SUM(P6:P117)</f>
        <v>37676440.090000004</v>
      </c>
      <c r="Q120" s="526">
        <f>SUM(Q6:Q117)</f>
        <v>83097451.150000021</v>
      </c>
      <c r="R120" s="526">
        <f>SUM(R6:R117)</f>
        <v>36370091.389999993</v>
      </c>
      <c r="S120" s="526">
        <f>SUM(S6:S117)</f>
        <v>75090115.813999996</v>
      </c>
      <c r="T120" s="526">
        <v>191474632.04999998</v>
      </c>
      <c r="U120" s="526">
        <v>54244857.780000016</v>
      </c>
      <c r="V120" s="526">
        <f t="shared" ref="V120:AA120" si="12">SUM(V6:V117)</f>
        <v>19480761.520000003</v>
      </c>
      <c r="W120" s="526">
        <f t="shared" si="12"/>
        <v>81170789.289999992</v>
      </c>
      <c r="X120" s="526">
        <f t="shared" si="12"/>
        <v>62234393.68</v>
      </c>
      <c r="Y120" s="526">
        <f t="shared" si="12"/>
        <v>72805896.159999996</v>
      </c>
      <c r="Z120" s="526">
        <f t="shared" si="12"/>
        <v>102823486.62999998</v>
      </c>
      <c r="AA120" s="526">
        <f t="shared" si="12"/>
        <v>0</v>
      </c>
      <c r="AB120" s="526">
        <f>SUM(AB6:AB119)</f>
        <v>72226781.129999995</v>
      </c>
      <c r="AC120" s="526"/>
      <c r="AD120" s="526"/>
      <c r="AE120" s="494">
        <f>SUM(AE6:AE119)</f>
        <v>249063659.62189999</v>
      </c>
      <c r="AF120" s="563"/>
      <c r="AG120" s="494">
        <f>SUM(AG6:AG117)</f>
        <v>269176147.61500013</v>
      </c>
      <c r="AH120" s="493">
        <f>SUM(AH9:AH119)</f>
        <v>42154113.649999976</v>
      </c>
      <c r="AI120" s="494">
        <f>SUM(AI6:AI117)</f>
        <v>805327595.98690009</v>
      </c>
      <c r="AJ120" s="526">
        <f>SUM(AJ6:AJ117)</f>
        <v>783322144.52999973</v>
      </c>
      <c r="AK120" s="564">
        <f>SUM(AK6:AK119)</f>
        <v>249063659.62189996</v>
      </c>
      <c r="AL120" s="561"/>
      <c r="AM120" s="688"/>
      <c r="AN120" s="688"/>
      <c r="AO120" s="688"/>
      <c r="AP120" s="688"/>
      <c r="AQ120" s="688"/>
      <c r="AR120" s="688"/>
      <c r="AS120" s="688"/>
      <c r="AT120" s="688"/>
      <c r="AU120" s="688"/>
      <c r="AV120" s="688"/>
      <c r="AW120" s="688"/>
      <c r="AX120" s="688"/>
      <c r="AY120" s="688"/>
      <c r="AZ120" s="688"/>
      <c r="BA120" s="688"/>
    </row>
    <row r="121" spans="1:53" ht="19" thickBot="1" x14ac:dyDescent="0.5">
      <c r="A121" s="500"/>
      <c r="B121" s="552"/>
      <c r="C121" s="461">
        <v>42154113.649999976</v>
      </c>
      <c r="P121" s="501"/>
      <c r="Q121" s="502"/>
      <c r="R121" s="501"/>
      <c r="S121" s="501"/>
      <c r="T121" s="501"/>
      <c r="U121" s="501"/>
      <c r="V121" s="501"/>
      <c r="W121" s="501"/>
      <c r="X121" s="562"/>
      <c r="Y121" s="501"/>
      <c r="Z121" s="501"/>
      <c r="AA121" s="532"/>
      <c r="AB121" s="527"/>
      <c r="AC121" s="509"/>
      <c r="AD121" s="509"/>
      <c r="AH121" s="555" t="e">
        <f>#REF!-'2017-2018'!AH120</f>
        <v>#REF!</v>
      </c>
      <c r="AK121" s="460">
        <v>248020567.44999993</v>
      </c>
      <c r="AM121" s="688"/>
      <c r="AN121" s="688"/>
      <c r="AO121" s="688"/>
      <c r="AP121" s="688"/>
      <c r="AQ121" s="688"/>
      <c r="AR121" s="688"/>
      <c r="AS121" s="688"/>
      <c r="AT121" s="688"/>
      <c r="AU121" s="688"/>
      <c r="AV121" s="688"/>
      <c r="AW121" s="688"/>
      <c r="AX121" s="688"/>
      <c r="AY121" s="688"/>
      <c r="AZ121" s="688"/>
      <c r="BA121" s="688"/>
    </row>
    <row r="122" spans="1:53" x14ac:dyDescent="0.45">
      <c r="A122" s="698" t="s">
        <v>317</v>
      </c>
      <c r="B122" s="458"/>
      <c r="C122" s="458">
        <f>C121-C120</f>
        <v>0</v>
      </c>
      <c r="D122" s="547"/>
      <c r="E122" s="460">
        <v>344592.45999999996</v>
      </c>
      <c r="G122" s="461">
        <v>399561.9</v>
      </c>
      <c r="I122" s="460">
        <v>494546.97000000003</v>
      </c>
      <c r="J122" s="460">
        <f>J120-59733118.81</f>
        <v>0</v>
      </c>
      <c r="K122" s="460">
        <v>449039.06</v>
      </c>
      <c r="M122" s="460">
        <v>462828.37</v>
      </c>
      <c r="O122" s="500"/>
      <c r="P122" s="501"/>
      <c r="Q122" s="501">
        <v>1123229.6099999999</v>
      </c>
      <c r="R122" s="501"/>
      <c r="S122" s="461">
        <v>1139904.46</v>
      </c>
      <c r="T122" s="501"/>
      <c r="U122" s="501">
        <v>-2466.8200000000102</v>
      </c>
      <c r="V122" s="501"/>
      <c r="W122" s="501">
        <v>443679.73</v>
      </c>
      <c r="X122" s="501"/>
      <c r="Y122" s="501">
        <v>619220.24</v>
      </c>
      <c r="Z122" s="501">
        <f>102823486.63-Z120</f>
        <v>0</v>
      </c>
      <c r="AA122" s="501"/>
      <c r="AB122" s="501">
        <v>692827.02</v>
      </c>
      <c r="AC122" s="501"/>
      <c r="AD122" s="501"/>
      <c r="AE122" s="696">
        <f>AE120-42154113.65+12542149.57</f>
        <v>219451695.54189998</v>
      </c>
      <c r="AF122" s="696"/>
      <c r="AG122" s="696"/>
      <c r="AH122" s="458"/>
      <c r="AI122" s="696"/>
      <c r="AJ122" s="501"/>
      <c r="AK122" s="696">
        <f>AK120-AK121</f>
        <v>1043092.171900034</v>
      </c>
      <c r="AL122" s="696"/>
      <c r="AM122" s="502"/>
      <c r="AN122" s="502"/>
      <c r="AO122" s="688"/>
      <c r="AP122" s="688"/>
      <c r="AQ122" s="688"/>
      <c r="AR122" s="688"/>
      <c r="AS122" s="688"/>
      <c r="AT122" s="688"/>
      <c r="AU122" s="688"/>
      <c r="AV122" s="688"/>
      <c r="AW122" s="688"/>
      <c r="AX122" s="688"/>
      <c r="AY122" s="688"/>
      <c r="AZ122" s="688"/>
      <c r="BA122" s="688"/>
    </row>
    <row r="123" spans="1:53" x14ac:dyDescent="0.45">
      <c r="A123" s="698" t="s">
        <v>318</v>
      </c>
      <c r="B123" s="504"/>
      <c r="C123" s="504"/>
      <c r="D123" s="505"/>
      <c r="E123" s="505">
        <f>E120+E122</f>
        <v>64435888.952000007</v>
      </c>
      <c r="F123" s="505"/>
      <c r="G123" s="541">
        <f>G120+G122</f>
        <v>65057182.439999998</v>
      </c>
      <c r="H123" s="505"/>
      <c r="I123" s="505">
        <v>63035640.689999975</v>
      </c>
      <c r="J123" s="548"/>
      <c r="K123" s="505">
        <f>K120+K122</f>
        <v>63596438.058300003</v>
      </c>
      <c r="L123" s="505"/>
      <c r="M123" s="505">
        <f>M120+M122</f>
        <v>63333759.882599987</v>
      </c>
      <c r="N123" s="505"/>
      <c r="O123" s="504"/>
      <c r="P123" s="501"/>
      <c r="Q123" s="509">
        <f>Q120+Q122</f>
        <v>84220680.76000002</v>
      </c>
      <c r="R123" s="501"/>
      <c r="S123" s="504">
        <f>S120-S122</f>
        <v>73950211.354000002</v>
      </c>
      <c r="T123" s="501"/>
      <c r="U123" s="509">
        <v>54242390.960000016</v>
      </c>
      <c r="V123" s="501">
        <v>19480561.520000003</v>
      </c>
      <c r="W123" s="509">
        <f>W120+W122</f>
        <v>81614469.019999996</v>
      </c>
      <c r="X123" s="501"/>
      <c r="Y123" s="509">
        <f>Y120+Y122</f>
        <v>73425116.399999991</v>
      </c>
      <c r="Z123" s="509"/>
      <c r="AA123" s="509"/>
      <c r="AB123" s="509">
        <f>AB120+AB122</f>
        <v>72919608.149999991</v>
      </c>
      <c r="AC123" s="509"/>
      <c r="AD123" s="509"/>
      <c r="AE123" s="508">
        <v>249066448.63</v>
      </c>
      <c r="AF123" s="508"/>
      <c r="AG123" s="508"/>
      <c r="AH123" s="504"/>
      <c r="AI123" s="508"/>
      <c r="AJ123" s="501"/>
      <c r="AK123" s="508">
        <f>AK122-1047916.32</f>
        <v>-4824.148099965998</v>
      </c>
      <c r="AM123" s="502"/>
      <c r="AN123" s="502"/>
      <c r="AO123" s="688"/>
      <c r="AP123" s="688"/>
      <c r="AQ123" s="688"/>
      <c r="AR123" s="688"/>
      <c r="AS123" s="688"/>
      <c r="AT123" s="688"/>
      <c r="AU123" s="688"/>
      <c r="AV123" s="688"/>
      <c r="AW123" s="688"/>
      <c r="AX123" s="688"/>
      <c r="AY123" s="688"/>
      <c r="AZ123" s="688"/>
      <c r="BA123" s="688"/>
    </row>
    <row r="124" spans="1:53" x14ac:dyDescent="0.45">
      <c r="A124" s="688"/>
      <c r="B124" s="500"/>
      <c r="C124" s="688"/>
      <c r="Q124" s="502"/>
      <c r="R124" s="501"/>
      <c r="S124" s="501"/>
      <c r="T124" s="501"/>
      <c r="U124" s="501">
        <v>54244857.780000016</v>
      </c>
      <c r="V124" s="501"/>
      <c r="W124" s="501">
        <v>81170789.290000007</v>
      </c>
      <c r="Y124" s="501"/>
      <c r="Z124" s="501"/>
      <c r="AA124" s="501"/>
      <c r="AB124" s="501"/>
      <c r="AC124" s="501"/>
      <c r="AD124" s="501"/>
      <c r="AE124" s="473">
        <f>AE122-AE123</f>
        <v>-29614753.088100016</v>
      </c>
      <c r="AF124" s="473"/>
      <c r="AG124" s="473"/>
      <c r="AH124" s="688"/>
      <c r="AI124" s="473"/>
      <c r="AJ124" s="501"/>
      <c r="AK124" s="473"/>
      <c r="AM124" s="502"/>
      <c r="AN124" s="502"/>
      <c r="AO124" s="688"/>
      <c r="AP124" s="688"/>
      <c r="AQ124" s="688"/>
      <c r="AR124" s="688"/>
      <c r="AS124" s="688"/>
      <c r="AT124" s="688"/>
      <c r="AU124" s="688"/>
      <c r="AV124" s="688"/>
      <c r="AW124" s="688"/>
      <c r="AX124" s="688"/>
      <c r="AY124" s="688"/>
      <c r="AZ124" s="688"/>
      <c r="BA124" s="688"/>
    </row>
    <row r="125" spans="1:53" x14ac:dyDescent="0.45">
      <c r="A125" s="688"/>
      <c r="B125" s="688"/>
      <c r="C125" s="688"/>
      <c r="Q125" s="461"/>
      <c r="U125" s="461">
        <f>U120-U124</f>
        <v>0</v>
      </c>
      <c r="Y125" s="501"/>
      <c r="Z125" s="501"/>
      <c r="AA125" s="501"/>
      <c r="AB125" s="501"/>
      <c r="AC125" s="501"/>
      <c r="AD125" s="501"/>
      <c r="AE125" s="473"/>
      <c r="AF125" s="473"/>
      <c r="AG125" s="473"/>
      <c r="AH125" s="688"/>
      <c r="AI125" s="473"/>
      <c r="AJ125" s="501"/>
      <c r="AK125" s="473"/>
      <c r="AM125" s="501"/>
      <c r="AN125" s="502"/>
      <c r="AO125" s="688"/>
      <c r="AP125" s="688"/>
      <c r="AQ125" s="688"/>
      <c r="AR125" s="688"/>
      <c r="AS125" s="688"/>
      <c r="AT125" s="688"/>
      <c r="AU125" s="688"/>
      <c r="AV125" s="688"/>
      <c r="AW125" s="688"/>
      <c r="AX125" s="688"/>
      <c r="AY125" s="688"/>
      <c r="AZ125" s="688"/>
      <c r="BA125" s="688"/>
    </row>
    <row r="126" spans="1:53" x14ac:dyDescent="0.45">
      <c r="A126" s="688"/>
      <c r="B126" s="500"/>
      <c r="C126" s="688"/>
      <c r="Q126" s="458"/>
      <c r="W126" s="461">
        <f>W120-W124</f>
        <v>0</v>
      </c>
      <c r="Y126" s="501"/>
      <c r="Z126" s="501"/>
      <c r="AA126" s="501"/>
      <c r="AB126" s="501"/>
      <c r="AC126" s="501"/>
      <c r="AD126" s="501"/>
      <c r="AE126" s="473"/>
      <c r="AF126" s="473"/>
      <c r="AG126" s="473"/>
      <c r="AH126" s="688"/>
      <c r="AI126" s="473"/>
      <c r="AJ126" s="501"/>
      <c r="AK126" s="473"/>
      <c r="AM126" s="556"/>
      <c r="AN126" s="502"/>
      <c r="AO126" s="688"/>
      <c r="AP126" s="688"/>
      <c r="AQ126" s="688"/>
      <c r="AR126" s="688"/>
      <c r="AS126" s="688"/>
      <c r="AT126" s="688"/>
      <c r="AU126" s="688"/>
      <c r="AV126" s="688"/>
      <c r="AW126" s="688"/>
      <c r="AX126" s="688"/>
      <c r="AY126" s="688"/>
      <c r="AZ126" s="688"/>
      <c r="BA126" s="688"/>
    </row>
    <row r="127" spans="1:53" x14ac:dyDescent="0.45">
      <c r="A127" s="688"/>
      <c r="B127" s="688"/>
      <c r="C127" s="688"/>
      <c r="Q127" s="688"/>
      <c r="Y127" s="501"/>
      <c r="Z127" s="501"/>
      <c r="AA127" s="501"/>
      <c r="AB127" s="501"/>
      <c r="AC127" s="501"/>
      <c r="AD127" s="501"/>
      <c r="AE127" s="473"/>
      <c r="AF127" s="473"/>
      <c r="AG127" s="473"/>
      <c r="AH127" s="688"/>
      <c r="AI127" s="473"/>
      <c r="AJ127" s="501"/>
      <c r="AK127" s="473"/>
      <c r="AM127" s="556"/>
      <c r="AN127" s="502"/>
      <c r="AO127" s="688"/>
      <c r="AP127" s="688"/>
      <c r="AQ127" s="688"/>
      <c r="AR127" s="688"/>
      <c r="AS127" s="688"/>
      <c r="AT127" s="688"/>
      <c r="AU127" s="688"/>
      <c r="AV127" s="688"/>
      <c r="AW127" s="688"/>
      <c r="AX127" s="688"/>
      <c r="AY127" s="688"/>
      <c r="AZ127" s="688"/>
      <c r="BA127" s="688"/>
    </row>
    <row r="128" spans="1:53" x14ac:dyDescent="0.45">
      <c r="A128" s="688"/>
      <c r="B128" s="688"/>
      <c r="C128" s="688"/>
      <c r="Q128" s="688"/>
      <c r="Y128" s="501"/>
      <c r="Z128" s="501"/>
      <c r="AA128" s="501"/>
      <c r="AB128" s="501"/>
      <c r="AC128" s="553"/>
      <c r="AD128" s="501"/>
      <c r="AE128" s="473"/>
      <c r="AF128" s="473"/>
      <c r="AG128" s="473"/>
      <c r="AH128" s="688"/>
      <c r="AI128" s="473"/>
      <c r="AJ128" s="501"/>
      <c r="AK128" s="473"/>
      <c r="AM128" s="502"/>
      <c r="AN128" s="502"/>
      <c r="AO128" s="688"/>
      <c r="AP128" s="688"/>
      <c r="AQ128" s="688"/>
      <c r="AR128" s="688"/>
      <c r="AS128" s="688"/>
      <c r="AT128" s="688"/>
      <c r="AU128" s="688"/>
      <c r="AV128" s="688"/>
      <c r="AW128" s="688"/>
      <c r="AX128" s="688"/>
      <c r="AY128" s="688"/>
      <c r="AZ128" s="688"/>
      <c r="BA128" s="688"/>
    </row>
  </sheetData>
  <mergeCells count="1">
    <mergeCell ref="A1:A2"/>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07"/>
  <sheetViews>
    <sheetView topLeftCell="C1" workbookViewId="0">
      <pane ySplit="1" topLeftCell="A75" activePane="bottomLeft" state="frozen"/>
      <selection pane="bottomLeft" activeCell="AA77" sqref="AA77"/>
    </sheetView>
  </sheetViews>
  <sheetFormatPr defaultRowHeight="18.5" x14ac:dyDescent="0.45"/>
  <cols>
    <col min="1" max="1" width="76.6328125" style="459" customWidth="1"/>
    <col min="2" max="2" width="28" style="459" customWidth="1"/>
    <col min="3" max="3" width="23.36328125" style="459" customWidth="1"/>
    <col min="4" max="4" width="24.90625" style="460" customWidth="1"/>
    <col min="5" max="5" width="24" style="460" customWidth="1"/>
    <col min="6" max="6" width="23" style="460" customWidth="1"/>
    <col min="7" max="7" width="32.453125" style="461" customWidth="1"/>
    <col min="8" max="8" width="24.36328125" style="460" customWidth="1"/>
    <col min="9" max="9" width="20.6328125" style="460" customWidth="1"/>
    <col min="10" max="10" width="21.6328125" style="460" customWidth="1"/>
    <col min="11" max="11" width="24.453125" style="460" customWidth="1"/>
    <col min="12" max="12" width="32.453125" style="460" customWidth="1"/>
    <col min="13" max="13" width="24.36328125" style="460" customWidth="1"/>
    <col min="14" max="14" width="22" style="460" customWidth="1"/>
    <col min="15" max="15" width="23.54296875" style="460" customWidth="1"/>
    <col min="16" max="16" width="24" style="461" customWidth="1"/>
    <col min="17" max="17" width="21.54296875" style="459" customWidth="1"/>
    <col min="18" max="20" width="32.453125" style="461" customWidth="1"/>
    <col min="21" max="21" width="25.36328125" style="461" customWidth="1"/>
    <col min="22" max="22" width="24.54296875" style="461" customWidth="1"/>
    <col min="23" max="23" width="25.36328125" style="461" customWidth="1"/>
    <col min="24" max="24" width="32.453125" style="461" customWidth="1"/>
    <col min="25" max="25" width="24.6328125" style="461" customWidth="1"/>
    <col min="26" max="26" width="25.54296875" style="461" customWidth="1"/>
    <col min="27" max="27" width="31.08984375" style="461" customWidth="1"/>
    <col min="28" max="28" width="8.984375E-2" style="461" customWidth="1"/>
    <col min="29" max="30" width="27.08984375" style="460" customWidth="1"/>
    <col min="31" max="31" width="28" style="460" customWidth="1"/>
    <col min="32" max="32" width="30" style="460" customWidth="1"/>
    <col min="33" max="33" width="21" style="461" customWidth="1"/>
    <col min="34" max="34" width="20.54296875" style="460" customWidth="1"/>
    <col min="35" max="35" width="12.6328125" bestFit="1" customWidth="1"/>
    <col min="37" max="37" width="12.36328125" bestFit="1" customWidth="1"/>
  </cols>
  <sheetData>
    <row r="1" spans="1:35" ht="36.65" customHeight="1" x14ac:dyDescent="0.45">
      <c r="A1" s="1036" t="s">
        <v>0</v>
      </c>
      <c r="B1" s="458"/>
      <c r="C1" s="688"/>
      <c r="Q1" s="688"/>
      <c r="Z1" s="461">
        <f>Z12-Y12</f>
        <v>3853443.6499999985</v>
      </c>
      <c r="AI1" s="682"/>
    </row>
    <row r="2" spans="1:35" ht="19" thickBot="1" x14ac:dyDescent="0.5">
      <c r="A2" s="1037"/>
      <c r="B2" s="688"/>
      <c r="C2" s="458"/>
      <c r="Q2" s="688"/>
      <c r="AE2" s="571"/>
      <c r="AI2" s="682"/>
    </row>
    <row r="3" spans="1:35" ht="43.25" customHeight="1" thickBot="1" x14ac:dyDescent="0.4">
      <c r="A3" s="685">
        <v>43555</v>
      </c>
      <c r="B3" s="464" t="s">
        <v>293</v>
      </c>
      <c r="C3" s="464"/>
      <c r="D3" s="464" t="s">
        <v>3</v>
      </c>
      <c r="E3" s="464" t="s">
        <v>5</v>
      </c>
      <c r="F3" s="464" t="s">
        <v>3</v>
      </c>
      <c r="G3" s="465" t="s">
        <v>5</v>
      </c>
      <c r="H3" s="464" t="s">
        <v>3</v>
      </c>
      <c r="I3" s="464" t="s">
        <v>5</v>
      </c>
      <c r="J3" s="464" t="s">
        <v>3</v>
      </c>
      <c r="K3" s="464" t="s">
        <v>5</v>
      </c>
      <c r="L3" s="464" t="s">
        <v>3</v>
      </c>
      <c r="M3" s="464" t="s">
        <v>5</v>
      </c>
      <c r="N3" s="464" t="s">
        <v>3</v>
      </c>
      <c r="O3" s="464" t="s">
        <v>5</v>
      </c>
      <c r="P3" s="465" t="s">
        <v>3</v>
      </c>
      <c r="Q3" s="464" t="s">
        <v>5</v>
      </c>
      <c r="R3" s="465" t="s">
        <v>181</v>
      </c>
      <c r="S3" s="465" t="s">
        <v>5</v>
      </c>
      <c r="T3" s="465" t="s">
        <v>181</v>
      </c>
      <c r="U3" s="465" t="s">
        <v>5</v>
      </c>
      <c r="V3" s="465" t="s">
        <v>181</v>
      </c>
      <c r="W3" s="465" t="s">
        <v>5</v>
      </c>
      <c r="X3" s="465" t="s">
        <v>181</v>
      </c>
      <c r="Y3" s="465" t="s">
        <v>5</v>
      </c>
      <c r="Z3" s="465" t="s">
        <v>181</v>
      </c>
      <c r="AA3" s="465" t="s">
        <v>5</v>
      </c>
      <c r="AB3" s="523" t="s">
        <v>5</v>
      </c>
      <c r="AC3" s="466" t="s">
        <v>6</v>
      </c>
      <c r="AD3" s="598"/>
      <c r="AE3" s="518" t="s">
        <v>293</v>
      </c>
      <c r="AF3" s="543" t="s">
        <v>318</v>
      </c>
      <c r="AG3" s="595" t="s">
        <v>376</v>
      </c>
      <c r="AH3" s="518" t="s">
        <v>360</v>
      </c>
      <c r="AI3" s="682"/>
    </row>
    <row r="4" spans="1:35" ht="36" customHeight="1" thickBot="1" x14ac:dyDescent="0.5">
      <c r="A4" s="687" t="s">
        <v>467</v>
      </c>
      <c r="B4" s="467" t="s">
        <v>213</v>
      </c>
      <c r="C4" s="467" t="s">
        <v>443</v>
      </c>
      <c r="D4" s="467" t="s">
        <v>468</v>
      </c>
      <c r="E4" s="468" t="s">
        <v>468</v>
      </c>
      <c r="F4" s="468" t="s">
        <v>469</v>
      </c>
      <c r="G4" s="524" t="s">
        <v>469</v>
      </c>
      <c r="H4" s="468" t="s">
        <v>470</v>
      </c>
      <c r="I4" s="468" t="s">
        <v>470</v>
      </c>
      <c r="J4" s="469" t="s">
        <v>471</v>
      </c>
      <c r="K4" s="469" t="s">
        <v>471</v>
      </c>
      <c r="L4" s="469" t="s">
        <v>472</v>
      </c>
      <c r="M4" s="469" t="s">
        <v>472</v>
      </c>
      <c r="N4" s="469" t="s">
        <v>473</v>
      </c>
      <c r="O4" s="469" t="s">
        <v>473</v>
      </c>
      <c r="P4" s="470" t="s">
        <v>474</v>
      </c>
      <c r="Q4" s="469" t="s">
        <v>474</v>
      </c>
      <c r="R4" s="470" t="s">
        <v>475</v>
      </c>
      <c r="S4" s="470" t="s">
        <v>475</v>
      </c>
      <c r="T4" s="470" t="s">
        <v>476</v>
      </c>
      <c r="U4" s="470" t="s">
        <v>476</v>
      </c>
      <c r="V4" s="470" t="s">
        <v>477</v>
      </c>
      <c r="W4" s="470" t="s">
        <v>477</v>
      </c>
      <c r="X4" s="470" t="s">
        <v>478</v>
      </c>
      <c r="Y4" s="470" t="s">
        <v>478</v>
      </c>
      <c r="Z4" s="470" t="s">
        <v>479</v>
      </c>
      <c r="AA4" s="470" t="s">
        <v>479</v>
      </c>
      <c r="AB4" s="524" t="s">
        <v>479</v>
      </c>
      <c r="AC4" s="471"/>
      <c r="AD4" s="599"/>
      <c r="AE4" s="544" t="s">
        <v>213</v>
      </c>
      <c r="AF4" s="471"/>
      <c r="AG4" s="536"/>
      <c r="AH4" s="576"/>
      <c r="AI4" s="682"/>
    </row>
    <row r="5" spans="1:35" x14ac:dyDescent="0.45">
      <c r="A5" s="688"/>
      <c r="B5" s="688"/>
      <c r="C5" s="688"/>
      <c r="O5" s="473"/>
      <c r="Q5" s="688"/>
      <c r="AB5" s="525"/>
      <c r="AC5" s="473"/>
      <c r="AD5" s="600"/>
      <c r="AE5" s="473"/>
      <c r="AF5" s="473"/>
      <c r="AG5" s="501"/>
      <c r="AH5" s="473"/>
      <c r="AI5" s="682"/>
    </row>
    <row r="6" spans="1:35" hidden="1" x14ac:dyDescent="0.45">
      <c r="A6" s="689" t="s">
        <v>25</v>
      </c>
      <c r="B6" s="474">
        <f>3381269.79-1047916.5</f>
        <v>2333353.29</v>
      </c>
      <c r="C6" s="475"/>
      <c r="D6" s="474"/>
      <c r="E6" s="474">
        <v>4551935.82</v>
      </c>
      <c r="F6" s="474">
        <v>3381269.8</v>
      </c>
      <c r="G6" s="477">
        <v>4843740.57</v>
      </c>
      <c r="H6" s="474">
        <f>4551935.82</f>
        <v>4551935.82</v>
      </c>
      <c r="I6" s="474">
        <v>5012125.29</v>
      </c>
      <c r="J6" s="474">
        <v>4843740.57</v>
      </c>
      <c r="K6" s="474">
        <v>5015491.3199999994</v>
      </c>
      <c r="L6" s="474"/>
      <c r="M6" s="474">
        <v>4970518.75</v>
      </c>
      <c r="N6" s="474">
        <v>10027616.609999999</v>
      </c>
      <c r="O6" s="476">
        <f>5197586+1047916.5</f>
        <v>6245502.5</v>
      </c>
      <c r="P6" s="477">
        <f>4970518.75+5197586</f>
        <v>10168104.75</v>
      </c>
      <c r="Q6" s="477">
        <v>5107646.37</v>
      </c>
      <c r="R6" s="477">
        <v>5107646.37</v>
      </c>
      <c r="S6" s="477">
        <v>5129093.4000000004</v>
      </c>
      <c r="T6" s="477">
        <v>5129093.4000000004</v>
      </c>
      <c r="U6" s="477">
        <v>4962484.55</v>
      </c>
      <c r="V6" s="477">
        <f>4962484.55</f>
        <v>4962484.55</v>
      </c>
      <c r="W6" s="477">
        <v>4782323.28</v>
      </c>
      <c r="X6" s="477"/>
      <c r="Y6" s="477">
        <v>4926337.62</v>
      </c>
      <c r="Z6" s="477">
        <f>4782323.28+4926337.62</f>
        <v>9708660.9000000004</v>
      </c>
      <c r="AA6" s="477">
        <v>4923538.4100000011</v>
      </c>
      <c r="AB6" s="477"/>
      <c r="AC6" s="476">
        <f t="shared" ref="AC6:AC37" si="0">B6-C6-D6+E6-F6+G6-H6+I6-J6+K6-L6+M6-N6+O6-P6+Q6-R6+S6-T6+U6-V6+W6-X6+Y6-Z6+AA6</f>
        <v>4923538.4000000032</v>
      </c>
      <c r="AD6" s="601"/>
      <c r="AE6" s="476">
        <f t="shared" ref="AE6:AE37" si="1">B6</f>
        <v>2333353.29</v>
      </c>
      <c r="AF6" s="476">
        <f t="shared" ref="AF6:AF37" si="2">E6+G6+I6+K6+M6+O6+Q6+S6+U6+W6+Y6+AA6</f>
        <v>60470737.879999995</v>
      </c>
      <c r="AG6" s="537">
        <f t="shared" ref="AG6:AG37" si="3">D6+F6+H6+J6+L6+N6+P6+R6+T6+V6+X6+Z6</f>
        <v>57880552.769999996</v>
      </c>
      <c r="AH6" s="474">
        <f t="shared" ref="AH6:AH59" si="4">AE6+AF6-AG6</f>
        <v>4923538.3999999985</v>
      </c>
      <c r="AI6" s="591"/>
    </row>
    <row r="7" spans="1:35" s="538" customFormat="1" hidden="1" x14ac:dyDescent="0.45">
      <c r="A7" s="689" t="s">
        <v>24</v>
      </c>
      <c r="B7" s="474">
        <v>-2508081.2760000015</v>
      </c>
      <c r="C7" s="475"/>
      <c r="D7" s="474"/>
      <c r="E7" s="474">
        <v>3748322.92</v>
      </c>
      <c r="F7" s="474">
        <f>187967.49+294628.82+1155827.92+415562.85+251846.31+174876.33</f>
        <v>2480709.7200000002</v>
      </c>
      <c r="G7" s="477">
        <v>3728509.3200000003</v>
      </c>
      <c r="H7" s="474">
        <f>349483.85+100099.74+53988.99+240550.96+141490.96+188221.1+272755.87+1139040.33+285317.88+105292.78+1269175.55+135435.65+433981.94</f>
        <v>4714835.6000000006</v>
      </c>
      <c r="I7" s="474">
        <v>3700195.2800000003</v>
      </c>
      <c r="J7" s="474">
        <f>333101.79+92301.78+964516.4+254185.25+451228.96+1132142.78+16935.71+347558+127745.94</f>
        <v>3719716.61</v>
      </c>
      <c r="K7" s="575">
        <v>3683054.3000000003</v>
      </c>
      <c r="L7" s="474">
        <v>3686281.15</v>
      </c>
      <c r="M7" s="474">
        <v>3547546.3499999996</v>
      </c>
      <c r="N7" s="474">
        <v>2803891.8400000003</v>
      </c>
      <c r="O7" s="476">
        <v>3591792.1399999997</v>
      </c>
      <c r="P7" s="477">
        <v>4313910.76</v>
      </c>
      <c r="Q7" s="477">
        <v>3328204.99</v>
      </c>
      <c r="R7" s="477">
        <f>2069395.25+125834.11</f>
        <v>2195229.36</v>
      </c>
      <c r="S7" s="477">
        <v>2802716.99</v>
      </c>
      <c r="T7" s="477">
        <f>225510.6+940454.29+271688.32+120743.05+626095.29+24157.4</f>
        <v>2208648.9500000002</v>
      </c>
      <c r="U7" s="477">
        <v>2220317</v>
      </c>
      <c r="V7" s="477">
        <f>235290.99+257115.7+465318.11+6608+662638.67+452711.07+296329.12+15103</f>
        <v>2391114.66</v>
      </c>
      <c r="W7" s="477">
        <v>2047207.2</v>
      </c>
      <c r="X7" s="477">
        <f>231098.25+323115.05+318035.41+762703.48+360533.76+270130.92</f>
        <v>2265616.87</v>
      </c>
      <c r="Y7" s="477">
        <v>2015781.24</v>
      </c>
      <c r="Z7" s="477">
        <f>411820.18+255123.04+384662.78+228008+33301+247554.97+317183.71+332114+512923.04+236441.88+743158.1</f>
        <v>3702290.6999999997</v>
      </c>
      <c r="AA7" s="477">
        <v>2712609.51</v>
      </c>
      <c r="AB7" s="477"/>
      <c r="AC7" s="476">
        <f t="shared" si="0"/>
        <v>135929.74399999809</v>
      </c>
      <c r="AD7" s="601"/>
      <c r="AE7" s="476">
        <f t="shared" si="1"/>
        <v>-2508081.2760000015</v>
      </c>
      <c r="AF7" s="476">
        <f t="shared" si="2"/>
        <v>37126257.240000002</v>
      </c>
      <c r="AG7" s="537">
        <f t="shared" si="3"/>
        <v>34482246.219999999</v>
      </c>
      <c r="AH7" s="474">
        <f t="shared" si="4"/>
        <v>135929.74400000274</v>
      </c>
      <c r="AI7" s="591"/>
    </row>
    <row r="8" spans="1:35" s="538" customFormat="1" hidden="1" x14ac:dyDescent="0.45">
      <c r="A8" s="689" t="s">
        <v>361</v>
      </c>
      <c r="B8" s="474">
        <v>111082337.31660001</v>
      </c>
      <c r="C8" s="475"/>
      <c r="D8" s="474"/>
      <c r="E8" s="474">
        <v>12896861.24</v>
      </c>
      <c r="F8" s="474">
        <f>21581496.89+3588806.17</f>
        <v>25170303.060000002</v>
      </c>
      <c r="G8" s="477">
        <v>12914902.5</v>
      </c>
      <c r="H8" s="474">
        <f>12036058.17+13775705.57</f>
        <v>25811763.740000002</v>
      </c>
      <c r="I8" s="474">
        <v>13685142.410000002</v>
      </c>
      <c r="J8" s="474">
        <f>13685142.41</f>
        <v>13685142.41</v>
      </c>
      <c r="K8" s="474">
        <v>13534023.720000001</v>
      </c>
      <c r="L8" s="477">
        <v>13534023.720000001</v>
      </c>
      <c r="M8" s="474">
        <v>13914287.360000001</v>
      </c>
      <c r="N8" s="474"/>
      <c r="O8" s="476">
        <v>14279847.35</v>
      </c>
      <c r="P8" s="477">
        <v>28194134.710000001</v>
      </c>
      <c r="Q8" s="477">
        <v>14023242.4</v>
      </c>
      <c r="R8" s="477"/>
      <c r="S8" s="477">
        <v>14035902.24</v>
      </c>
      <c r="T8" s="477">
        <f>14023242.4+14035902.24+1877414.49</f>
        <v>29936559.129999999</v>
      </c>
      <c r="U8" s="477">
        <v>13127476.949999999</v>
      </c>
      <c r="V8" s="477"/>
      <c r="W8" s="477">
        <v>12289180.970000001</v>
      </c>
      <c r="X8" s="477"/>
      <c r="Y8" s="477">
        <v>13703784.41</v>
      </c>
      <c r="Z8" s="477">
        <f>15344364.09+10072293.83</f>
        <v>25416657.920000002</v>
      </c>
      <c r="AA8" s="477">
        <v>13998099.380000001</v>
      </c>
      <c r="AB8" s="477"/>
      <c r="AC8" s="476">
        <f t="shared" si="0"/>
        <v>111736503.55659999</v>
      </c>
      <c r="AD8" s="601"/>
      <c r="AE8" s="476">
        <f t="shared" si="1"/>
        <v>111082337.31660001</v>
      </c>
      <c r="AF8" s="476">
        <f t="shared" si="2"/>
        <v>162402750.93000001</v>
      </c>
      <c r="AG8" s="537">
        <f t="shared" si="3"/>
        <v>161748584.69</v>
      </c>
      <c r="AH8" s="474">
        <f t="shared" si="4"/>
        <v>111736503.55660003</v>
      </c>
      <c r="AI8" s="591"/>
    </row>
    <row r="9" spans="1:35" s="538" customFormat="1" ht="18.649999999999999" hidden="1" customHeight="1" x14ac:dyDescent="0.45">
      <c r="A9" s="689" t="s">
        <v>362</v>
      </c>
      <c r="B9" s="474">
        <v>1021968.56</v>
      </c>
      <c r="C9" s="475"/>
      <c r="D9" s="474"/>
      <c r="E9" s="474">
        <v>946316.12999999989</v>
      </c>
      <c r="F9" s="474">
        <v>1139752.49</v>
      </c>
      <c r="G9" s="477">
        <v>1365426.7999999998</v>
      </c>
      <c r="H9" s="474"/>
      <c r="I9" s="474">
        <v>1172267.3899999999</v>
      </c>
      <c r="J9" s="474">
        <f>1172267.39</f>
        <v>1172267.3899999999</v>
      </c>
      <c r="K9" s="474">
        <v>993677.03</v>
      </c>
      <c r="L9" s="474">
        <f>2311742.93</f>
        <v>2311742.9300000002</v>
      </c>
      <c r="M9" s="474">
        <v>973148.01</v>
      </c>
      <c r="N9" s="474">
        <v>993677.03</v>
      </c>
      <c r="O9" s="476">
        <v>970734.80999999994</v>
      </c>
      <c r="P9" s="477">
        <v>973148.01</v>
      </c>
      <c r="Q9" s="477">
        <v>1034028.34</v>
      </c>
      <c r="R9" s="477">
        <f>970734.81+1034028.34</f>
        <v>2004763.15</v>
      </c>
      <c r="S9" s="477">
        <v>1255725.04</v>
      </c>
      <c r="T9" s="477"/>
      <c r="U9" s="477">
        <v>1420803.9899999998</v>
      </c>
      <c r="V9" s="477">
        <v>1255725.04</v>
      </c>
      <c r="W9" s="477">
        <v>886733.91999999993</v>
      </c>
      <c r="X9" s="477">
        <v>2307537.91</v>
      </c>
      <c r="Y9" s="477">
        <v>3802996.1099999994</v>
      </c>
      <c r="Z9" s="477"/>
      <c r="AA9" s="477">
        <v>2149171.7200000002</v>
      </c>
      <c r="AB9" s="477"/>
      <c r="AC9" s="476">
        <f t="shared" si="0"/>
        <v>5834383.8999999994</v>
      </c>
      <c r="AD9" s="601"/>
      <c r="AE9" s="476">
        <f t="shared" si="1"/>
        <v>1021968.56</v>
      </c>
      <c r="AF9" s="476">
        <f t="shared" si="2"/>
        <v>16971029.289999999</v>
      </c>
      <c r="AG9" s="537">
        <f t="shared" si="3"/>
        <v>12158613.949999999</v>
      </c>
      <c r="AH9" s="474">
        <f t="shared" si="4"/>
        <v>5834383.8999999985</v>
      </c>
      <c r="AI9" s="591"/>
    </row>
    <row r="10" spans="1:35" s="538" customFormat="1" ht="16.25" hidden="1" customHeight="1" x14ac:dyDescent="0.45">
      <c r="A10" s="689" t="s">
        <v>31</v>
      </c>
      <c r="B10" s="474">
        <v>6597320.3900000006</v>
      </c>
      <c r="C10" s="475"/>
      <c r="D10" s="474">
        <v>3808269.74</v>
      </c>
      <c r="E10" s="474">
        <v>3643404.2800000003</v>
      </c>
      <c r="F10" s="474">
        <f>3664023.15+3572808.64</f>
        <v>7236831.79</v>
      </c>
      <c r="G10" s="477">
        <v>3666660.91</v>
      </c>
      <c r="H10" s="474"/>
      <c r="I10" s="474">
        <v>3800554.5500000003</v>
      </c>
      <c r="J10" s="474">
        <v>3509486.51</v>
      </c>
      <c r="K10" s="474">
        <v>3779945.72</v>
      </c>
      <c r="L10" s="474">
        <f>1064387.82+6365107.65</f>
        <v>7429495.4700000007</v>
      </c>
      <c r="M10" s="474">
        <v>3792231.52</v>
      </c>
      <c r="N10" s="474">
        <v>4034333.2</v>
      </c>
      <c r="O10" s="476">
        <v>8531078.1600000001</v>
      </c>
      <c r="P10" s="477">
        <f>136581.51+235440.35</f>
        <v>372021.86</v>
      </c>
      <c r="Q10" s="477">
        <v>-684263.09</v>
      </c>
      <c r="R10" s="477">
        <v>7704513.8500000006</v>
      </c>
      <c r="S10" s="477">
        <v>3891369.5800000005</v>
      </c>
      <c r="T10" s="477">
        <f>199845.92+3717826.99</f>
        <v>3917672.91</v>
      </c>
      <c r="U10" s="477">
        <v>3589003.92</v>
      </c>
      <c r="V10" s="477">
        <v>3432196.66</v>
      </c>
      <c r="W10" s="477">
        <v>3162341.35</v>
      </c>
      <c r="X10" s="477">
        <f>2856383.11</f>
        <v>2856383.11</v>
      </c>
      <c r="Y10" s="477">
        <v>3676263.62</v>
      </c>
      <c r="Z10" s="477">
        <v>3372086.6</v>
      </c>
      <c r="AA10" s="477">
        <v>5044861.4799999995</v>
      </c>
      <c r="AB10" s="477"/>
      <c r="AC10" s="476">
        <f t="shared" si="0"/>
        <v>4817480.6900000013</v>
      </c>
      <c r="AD10" s="601"/>
      <c r="AE10" s="476">
        <f t="shared" si="1"/>
        <v>6597320.3900000006</v>
      </c>
      <c r="AF10" s="476">
        <f t="shared" si="2"/>
        <v>45893452</v>
      </c>
      <c r="AG10" s="537">
        <f t="shared" si="3"/>
        <v>47673291.699999996</v>
      </c>
      <c r="AH10" s="474">
        <f t="shared" si="4"/>
        <v>4817480.6900000051</v>
      </c>
      <c r="AI10" s="591"/>
    </row>
    <row r="11" spans="1:35" s="538" customFormat="1" ht="16.25" hidden="1" customHeight="1" x14ac:dyDescent="0.45">
      <c r="A11" s="689" t="s">
        <v>189</v>
      </c>
      <c r="B11" s="474">
        <v>-2348.8999999994412</v>
      </c>
      <c r="C11" s="475"/>
      <c r="D11" s="474"/>
      <c r="E11" s="474">
        <v>0</v>
      </c>
      <c r="F11" s="474"/>
      <c r="G11" s="477">
        <v>0</v>
      </c>
      <c r="H11" s="474"/>
      <c r="I11" s="474">
        <v>0</v>
      </c>
      <c r="J11" s="474"/>
      <c r="K11" s="474">
        <v>0</v>
      </c>
      <c r="L11" s="474"/>
      <c r="M11" s="474">
        <v>0</v>
      </c>
      <c r="N11" s="474"/>
      <c r="O11" s="476"/>
      <c r="P11" s="477"/>
      <c r="Q11" s="477">
        <v>0</v>
      </c>
      <c r="R11" s="477"/>
      <c r="S11" s="477">
        <v>0</v>
      </c>
      <c r="T11" s="477"/>
      <c r="U11" s="477"/>
      <c r="V11" s="477"/>
      <c r="W11" s="477">
        <v>0</v>
      </c>
      <c r="X11" s="477"/>
      <c r="Y11" s="477"/>
      <c r="Z11" s="477"/>
      <c r="AA11" s="477">
        <v>0</v>
      </c>
      <c r="AB11" s="477"/>
      <c r="AC11" s="476">
        <f t="shared" si="0"/>
        <v>-2348.8999999994412</v>
      </c>
      <c r="AD11" s="601"/>
      <c r="AE11" s="476">
        <f t="shared" si="1"/>
        <v>-2348.8999999994412</v>
      </c>
      <c r="AF11" s="476">
        <f t="shared" si="2"/>
        <v>0</v>
      </c>
      <c r="AG11" s="537">
        <f t="shared" si="3"/>
        <v>0</v>
      </c>
      <c r="AH11" s="474">
        <f t="shared" si="4"/>
        <v>-2348.8999999994412</v>
      </c>
      <c r="AI11" s="591"/>
    </row>
    <row r="12" spans="1:35" s="538" customFormat="1" hidden="1" x14ac:dyDescent="0.45">
      <c r="A12" s="689" t="s">
        <v>363</v>
      </c>
      <c r="B12" s="474">
        <v>2887407.0700000226</v>
      </c>
      <c r="C12" s="475"/>
      <c r="D12" s="474"/>
      <c r="E12" s="477">
        <v>5809206.7300000004</v>
      </c>
      <c r="F12" s="474"/>
      <c r="G12" s="477">
        <v>5408380.1200000001</v>
      </c>
      <c r="H12" s="474">
        <v>8624263.8300000001</v>
      </c>
      <c r="I12" s="474">
        <v>6168849.7400000002</v>
      </c>
      <c r="J12" s="474">
        <f>72349.97+5379961.67</f>
        <v>5452311.6399999997</v>
      </c>
      <c r="K12" s="474">
        <v>6124599.5300000003</v>
      </c>
      <c r="L12" s="474">
        <f>6158528.74+6124599.53</f>
        <v>12283128.27</v>
      </c>
      <c r="M12" s="474">
        <v>6138441.4600000009</v>
      </c>
      <c r="N12" s="474">
        <v>6138441.46</v>
      </c>
      <c r="O12" s="476">
        <v>6367400.7400000012</v>
      </c>
      <c r="P12" s="477">
        <v>6367400.7400000002</v>
      </c>
      <c r="Q12" s="477">
        <v>6366946.1500000004</v>
      </c>
      <c r="R12" s="477"/>
      <c r="S12" s="477">
        <v>6408893.7000000002</v>
      </c>
      <c r="T12" s="477">
        <f>6366946.15+6408893.7</f>
        <v>12775839.850000001</v>
      </c>
      <c r="U12" s="477">
        <v>5905713.4700000007</v>
      </c>
      <c r="V12" s="477">
        <v>5905713.4699999997</v>
      </c>
      <c r="W12" s="575">
        <v>5591424.9400000004</v>
      </c>
      <c r="X12" s="461">
        <v>5591424.9400000004</v>
      </c>
      <c r="Y12" s="477">
        <v>6350187.620000001</v>
      </c>
      <c r="Z12" s="477">
        <v>10203631.27</v>
      </c>
      <c r="AA12" s="477">
        <v>6319568.9400000004</v>
      </c>
      <c r="AB12" s="477"/>
      <c r="AC12" s="476">
        <f t="shared" si="0"/>
        <v>2504864.7400000282</v>
      </c>
      <c r="AD12" s="601"/>
      <c r="AE12" s="476">
        <f t="shared" si="1"/>
        <v>2887407.0700000226</v>
      </c>
      <c r="AF12" s="476">
        <f t="shared" si="2"/>
        <v>72959613.140000001</v>
      </c>
      <c r="AG12" s="537">
        <f t="shared" si="3"/>
        <v>73342155.469999999</v>
      </c>
      <c r="AH12" s="474">
        <f t="shared" si="4"/>
        <v>2504864.7400000244</v>
      </c>
      <c r="AI12" s="591"/>
    </row>
    <row r="13" spans="1:35" s="538" customFormat="1" hidden="1" x14ac:dyDescent="0.45">
      <c r="A13" s="689" t="s">
        <v>364</v>
      </c>
      <c r="B13" s="474">
        <v>12340533.99</v>
      </c>
      <c r="C13" s="475"/>
      <c r="D13" s="474">
        <f>5219770.27+3305528.14</f>
        <v>8525298.4100000001</v>
      </c>
      <c r="E13" s="474">
        <v>3876010.17</v>
      </c>
      <c r="F13" s="474">
        <f>3815235.58</f>
        <v>3815235.58</v>
      </c>
      <c r="G13" s="477">
        <v>3277647.79</v>
      </c>
      <c r="H13" s="474">
        <f>3277647.79</f>
        <v>3277647.79</v>
      </c>
      <c r="I13" s="474">
        <v>3512801.01</v>
      </c>
      <c r="J13" s="474">
        <v>3512801.01</v>
      </c>
      <c r="K13" s="474">
        <v>3546470.5900000003</v>
      </c>
      <c r="L13" s="474">
        <f>3546470.59</f>
        <v>3546470.59</v>
      </c>
      <c r="M13" s="474">
        <v>3458752</v>
      </c>
      <c r="N13" s="474"/>
      <c r="O13" s="476">
        <v>3544796.55</v>
      </c>
      <c r="P13" s="477"/>
      <c r="Q13" s="477">
        <v>3451187.53</v>
      </c>
      <c r="R13" s="477">
        <v>3452036.92</v>
      </c>
      <c r="S13" s="477">
        <v>3406133.25</v>
      </c>
      <c r="T13" s="477">
        <v>3544796.55</v>
      </c>
      <c r="U13" s="477">
        <v>3316449.89</v>
      </c>
      <c r="V13" s="477"/>
      <c r="W13" s="477">
        <v>3190560.64</v>
      </c>
      <c r="X13" s="477">
        <f>3451187.53+3406133.25</f>
        <v>6857320.7799999993</v>
      </c>
      <c r="Y13" s="477">
        <v>3327955.81</v>
      </c>
      <c r="Z13" s="530">
        <f>3316449.89+3190560.64+3327955.81+230535.02+1517350.16</f>
        <v>11582851.52</v>
      </c>
      <c r="AA13" s="477">
        <v>3295088.34</v>
      </c>
      <c r="AB13" s="477"/>
      <c r="AC13" s="476">
        <f t="shared" si="0"/>
        <v>5429928.4100000001</v>
      </c>
      <c r="AD13" s="601"/>
      <c r="AE13" s="476">
        <f t="shared" si="1"/>
        <v>12340533.99</v>
      </c>
      <c r="AF13" s="476">
        <f t="shared" si="2"/>
        <v>41203853.570000008</v>
      </c>
      <c r="AG13" s="537">
        <f t="shared" si="3"/>
        <v>48114459.149999991</v>
      </c>
      <c r="AH13" s="474">
        <f t="shared" si="4"/>
        <v>5429928.4100000188</v>
      </c>
      <c r="AI13" s="591"/>
    </row>
    <row r="14" spans="1:35" s="538" customFormat="1" hidden="1" x14ac:dyDescent="0.45">
      <c r="A14" s="689" t="s">
        <v>86</v>
      </c>
      <c r="B14" s="474">
        <v>7752.0000000001164</v>
      </c>
      <c r="C14" s="475"/>
      <c r="D14" s="474"/>
      <c r="E14" s="575">
        <v>7752</v>
      </c>
      <c r="F14" s="474"/>
      <c r="G14" s="477">
        <v>7752</v>
      </c>
      <c r="H14" s="474"/>
      <c r="I14" s="474">
        <v>7752</v>
      </c>
      <c r="J14" s="474"/>
      <c r="K14" s="474">
        <v>7752</v>
      </c>
      <c r="L14" s="474"/>
      <c r="M14" s="474">
        <v>7752</v>
      </c>
      <c r="N14" s="474"/>
      <c r="O14" s="476">
        <v>7752</v>
      </c>
      <c r="P14" s="477"/>
      <c r="Q14" s="477">
        <v>7752</v>
      </c>
      <c r="R14" s="477"/>
      <c r="S14" s="477">
        <v>7752</v>
      </c>
      <c r="T14" s="477"/>
      <c r="U14" s="477">
        <v>7752</v>
      </c>
      <c r="V14" s="477"/>
      <c r="W14" s="477">
        <v>7752</v>
      </c>
      <c r="X14" s="477"/>
      <c r="Y14" s="477">
        <v>7752</v>
      </c>
      <c r="Z14" s="477"/>
      <c r="AA14" s="477">
        <v>7752</v>
      </c>
      <c r="AB14" s="477"/>
      <c r="AC14" s="476">
        <f t="shared" si="0"/>
        <v>100776.00000000012</v>
      </c>
      <c r="AD14" s="601"/>
      <c r="AE14" s="476">
        <f t="shared" si="1"/>
        <v>7752.0000000001164</v>
      </c>
      <c r="AF14" s="476">
        <f t="shared" si="2"/>
        <v>93024</v>
      </c>
      <c r="AG14" s="537">
        <f t="shared" si="3"/>
        <v>0</v>
      </c>
      <c r="AH14" s="474">
        <f t="shared" si="4"/>
        <v>100776.00000000012</v>
      </c>
      <c r="AI14" s="591"/>
    </row>
    <row r="15" spans="1:35" s="538" customFormat="1" hidden="1" x14ac:dyDescent="0.45">
      <c r="A15" s="689" t="s">
        <v>334</v>
      </c>
      <c r="B15" s="474">
        <f>8748.99999999836+2035.31</f>
        <v>10784.309999998359</v>
      </c>
      <c r="C15" s="475"/>
      <c r="D15" s="474"/>
      <c r="E15" s="474">
        <v>0</v>
      </c>
      <c r="F15" s="474"/>
      <c r="G15" s="477">
        <v>0</v>
      </c>
      <c r="H15" s="474"/>
      <c r="I15" s="474">
        <v>0</v>
      </c>
      <c r="J15" s="474"/>
      <c r="K15" s="474">
        <v>0</v>
      </c>
      <c r="L15" s="474"/>
      <c r="M15" s="477">
        <v>0</v>
      </c>
      <c r="N15" s="474"/>
      <c r="O15" s="476"/>
      <c r="P15" s="477"/>
      <c r="Q15" s="477">
        <v>0</v>
      </c>
      <c r="R15" s="477"/>
      <c r="S15" s="477">
        <v>0</v>
      </c>
      <c r="T15" s="477"/>
      <c r="U15" s="477"/>
      <c r="V15" s="477"/>
      <c r="W15" s="477">
        <v>0</v>
      </c>
      <c r="X15" s="477"/>
      <c r="Y15" s="477"/>
      <c r="Z15" s="477"/>
      <c r="AA15" s="477">
        <v>0</v>
      </c>
      <c r="AB15" s="477"/>
      <c r="AC15" s="476">
        <f t="shared" si="0"/>
        <v>10784.309999998359</v>
      </c>
      <c r="AD15" s="601"/>
      <c r="AE15" s="476">
        <f t="shared" si="1"/>
        <v>10784.309999998359</v>
      </c>
      <c r="AF15" s="476">
        <f t="shared" si="2"/>
        <v>0</v>
      </c>
      <c r="AG15" s="537">
        <f t="shared" si="3"/>
        <v>0</v>
      </c>
      <c r="AH15" s="474">
        <f t="shared" si="4"/>
        <v>10784.309999998359</v>
      </c>
      <c r="AI15" s="591"/>
    </row>
    <row r="16" spans="1:35" s="538" customFormat="1" hidden="1" x14ac:dyDescent="0.45">
      <c r="A16" s="689" t="s">
        <v>459</v>
      </c>
      <c r="B16" s="474">
        <v>307183</v>
      </c>
      <c r="C16" s="475"/>
      <c r="D16" s="474"/>
      <c r="E16" s="474">
        <v>0</v>
      </c>
      <c r="F16" s="474"/>
      <c r="G16" s="477">
        <v>0</v>
      </c>
      <c r="H16" s="474">
        <v>307183</v>
      </c>
      <c r="I16" s="474">
        <v>0</v>
      </c>
      <c r="J16" s="474"/>
      <c r="K16" s="474">
        <v>0</v>
      </c>
      <c r="L16" s="474"/>
      <c r="M16" s="477">
        <v>0</v>
      </c>
      <c r="N16" s="474"/>
      <c r="O16" s="476"/>
      <c r="P16" s="477"/>
      <c r="Q16" s="477">
        <v>0</v>
      </c>
      <c r="R16" s="477"/>
      <c r="S16" s="477">
        <v>0</v>
      </c>
      <c r="T16" s="477"/>
      <c r="U16" s="477"/>
      <c r="V16" s="477"/>
      <c r="W16" s="477">
        <v>0</v>
      </c>
      <c r="X16" s="477"/>
      <c r="Y16" s="477"/>
      <c r="Z16" s="477"/>
      <c r="AA16" s="477">
        <v>0</v>
      </c>
      <c r="AB16" s="477"/>
      <c r="AC16" s="476">
        <f t="shared" si="0"/>
        <v>0</v>
      </c>
      <c r="AD16" s="601"/>
      <c r="AE16" s="476">
        <f t="shared" si="1"/>
        <v>307183</v>
      </c>
      <c r="AF16" s="476">
        <f t="shared" si="2"/>
        <v>0</v>
      </c>
      <c r="AG16" s="537">
        <f t="shared" si="3"/>
        <v>307183</v>
      </c>
      <c r="AH16" s="474">
        <f t="shared" si="4"/>
        <v>0</v>
      </c>
      <c r="AI16" s="591"/>
    </row>
    <row r="17" spans="1:35" s="538" customFormat="1" hidden="1" x14ac:dyDescent="0.45">
      <c r="A17" s="689" t="s">
        <v>460</v>
      </c>
      <c r="B17" s="474">
        <v>54281.52</v>
      </c>
      <c r="C17" s="475"/>
      <c r="D17" s="474"/>
      <c r="E17" s="474">
        <v>2231.21</v>
      </c>
      <c r="F17" s="474"/>
      <c r="G17" s="477">
        <v>0</v>
      </c>
      <c r="H17" s="474"/>
      <c r="I17" s="474">
        <v>0</v>
      </c>
      <c r="J17" s="474"/>
      <c r="K17" s="474">
        <v>0</v>
      </c>
      <c r="L17" s="474"/>
      <c r="M17" s="477">
        <v>0</v>
      </c>
      <c r="N17" s="474"/>
      <c r="O17" s="476"/>
      <c r="P17" s="477"/>
      <c r="Q17" s="477">
        <v>0</v>
      </c>
      <c r="R17" s="477"/>
      <c r="S17" s="477">
        <v>0</v>
      </c>
      <c r="T17" s="477"/>
      <c r="U17" s="477"/>
      <c r="V17" s="477"/>
      <c r="W17" s="477">
        <v>0</v>
      </c>
      <c r="X17" s="477"/>
      <c r="Y17" s="477"/>
      <c r="Z17" s="477"/>
      <c r="AA17" s="477">
        <v>0</v>
      </c>
      <c r="AB17" s="477">
        <v>0</v>
      </c>
      <c r="AC17" s="476">
        <f t="shared" si="0"/>
        <v>56512.729999999996</v>
      </c>
      <c r="AD17" s="601"/>
      <c r="AE17" s="476">
        <f t="shared" si="1"/>
        <v>54281.52</v>
      </c>
      <c r="AF17" s="476">
        <f t="shared" si="2"/>
        <v>2231.21</v>
      </c>
      <c r="AG17" s="537">
        <f t="shared" si="3"/>
        <v>0</v>
      </c>
      <c r="AH17" s="474">
        <f t="shared" si="4"/>
        <v>56512.729999999996</v>
      </c>
      <c r="AI17" s="591"/>
    </row>
    <row r="18" spans="1:35" s="538" customFormat="1" hidden="1" x14ac:dyDescent="0.45">
      <c r="A18" s="689" t="s">
        <v>461</v>
      </c>
      <c r="B18" s="474">
        <v>1127.1300000000001</v>
      </c>
      <c r="C18" s="475"/>
      <c r="D18" s="474"/>
      <c r="E18" s="474">
        <v>0</v>
      </c>
      <c r="F18" s="474"/>
      <c r="G18" s="477">
        <v>0</v>
      </c>
      <c r="H18" s="474"/>
      <c r="I18" s="474">
        <v>0</v>
      </c>
      <c r="J18" s="474"/>
      <c r="K18" s="474">
        <v>0</v>
      </c>
      <c r="L18" s="474"/>
      <c r="M18" s="477">
        <v>0</v>
      </c>
      <c r="N18" s="474"/>
      <c r="O18" s="476"/>
      <c r="P18" s="477"/>
      <c r="Q18" s="477">
        <v>0</v>
      </c>
      <c r="R18" s="477"/>
      <c r="S18" s="477">
        <v>0</v>
      </c>
      <c r="T18" s="477"/>
      <c r="U18" s="477"/>
      <c r="V18" s="477"/>
      <c r="W18" s="477">
        <v>0</v>
      </c>
      <c r="X18" s="477"/>
      <c r="Y18" s="477"/>
      <c r="Z18" s="477"/>
      <c r="AA18" s="477">
        <v>0</v>
      </c>
      <c r="AB18" s="477"/>
      <c r="AC18" s="476">
        <f t="shared" si="0"/>
        <v>1127.1300000000001</v>
      </c>
      <c r="AD18" s="601"/>
      <c r="AE18" s="476">
        <f t="shared" si="1"/>
        <v>1127.1300000000001</v>
      </c>
      <c r="AF18" s="476">
        <f t="shared" si="2"/>
        <v>0</v>
      </c>
      <c r="AG18" s="537">
        <f t="shared" si="3"/>
        <v>0</v>
      </c>
      <c r="AH18" s="474">
        <f t="shared" si="4"/>
        <v>1127.1300000000001</v>
      </c>
      <c r="AI18" s="591"/>
    </row>
    <row r="19" spans="1:35" s="538" customFormat="1" hidden="1" x14ac:dyDescent="0.45">
      <c r="A19" s="689" t="s">
        <v>41</v>
      </c>
      <c r="B19" s="474">
        <v>7311426.2799999993</v>
      </c>
      <c r="C19" s="475"/>
      <c r="D19" s="474"/>
      <c r="E19" s="474">
        <v>161640.29999999999</v>
      </c>
      <c r="F19" s="474"/>
      <c r="G19" s="477">
        <v>207357.92</v>
      </c>
      <c r="H19" s="474">
        <f>192.5+1616899.27</f>
        <v>1617091.77</v>
      </c>
      <c r="I19" s="474">
        <v>131706.65000000002</v>
      </c>
      <c r="J19" s="474"/>
      <c r="K19" s="474">
        <v>165523.35</v>
      </c>
      <c r="L19" s="474">
        <f>96422.33+28869.68+96792.32</f>
        <v>222084.33000000002</v>
      </c>
      <c r="M19" s="477">
        <v>132297.67000000001</v>
      </c>
      <c r="N19" s="474"/>
      <c r="O19" s="476">
        <v>127538.02</v>
      </c>
      <c r="P19" s="477">
        <f>20999.61+32707.69</f>
        <v>53707.3</v>
      </c>
      <c r="Q19" s="477">
        <v>195940.35</v>
      </c>
      <c r="R19" s="477">
        <f>39677.14+46940.95+20</f>
        <v>86638.09</v>
      </c>
      <c r="S19" s="477">
        <v>78707.25</v>
      </c>
      <c r="T19" s="477">
        <f>72+103193.01</f>
        <v>103265.01</v>
      </c>
      <c r="U19" s="477">
        <v>124834.93</v>
      </c>
      <c r="V19" s="477">
        <f>19750</f>
        <v>19750</v>
      </c>
      <c r="W19" s="477">
        <v>155401.44</v>
      </c>
      <c r="X19" s="593">
        <f>105+31605.26+39540.73</f>
        <v>71250.990000000005</v>
      </c>
      <c r="Y19" s="477">
        <v>38778.499999999985</v>
      </c>
      <c r="Z19" s="477">
        <f>234452.55+95</f>
        <v>234547.55</v>
      </c>
      <c r="AA19" s="477">
        <v>113737.04000000001</v>
      </c>
      <c r="AB19" s="477"/>
      <c r="AC19" s="476">
        <f t="shared" si="0"/>
        <v>6536554.6599999983</v>
      </c>
      <c r="AD19" s="601"/>
      <c r="AE19" s="476">
        <f t="shared" si="1"/>
        <v>7311426.2799999993</v>
      </c>
      <c r="AF19" s="476">
        <f t="shared" si="2"/>
        <v>1633463.42</v>
      </c>
      <c r="AG19" s="537">
        <f t="shared" si="3"/>
        <v>2408335.04</v>
      </c>
      <c r="AH19" s="474">
        <f t="shared" si="4"/>
        <v>6536554.6599999992</v>
      </c>
      <c r="AI19" s="591"/>
    </row>
    <row r="20" spans="1:35" s="538" customFormat="1" hidden="1" x14ac:dyDescent="0.45">
      <c r="A20" s="689" t="s">
        <v>26</v>
      </c>
      <c r="B20" s="474">
        <v>19298373.300000012</v>
      </c>
      <c r="C20" s="475"/>
      <c r="D20" s="474">
        <v>13614732.310000001</v>
      </c>
      <c r="E20" s="474">
        <v>5507897.04</v>
      </c>
      <c r="F20" s="474">
        <f>5683640.97+5507897.04</f>
        <v>11191538.01</v>
      </c>
      <c r="G20" s="477">
        <v>5541349.0699999994</v>
      </c>
      <c r="H20" s="474"/>
      <c r="I20" s="474">
        <v>6098514.1400000006</v>
      </c>
      <c r="J20" s="474">
        <f>5541349.07</f>
        <v>5541349.0700000003</v>
      </c>
      <c r="K20" s="474">
        <v>5716524.8300000001</v>
      </c>
      <c r="L20" s="474">
        <v>6098514.1399999997</v>
      </c>
      <c r="M20" s="474">
        <v>6040048.5300000003</v>
      </c>
      <c r="N20" s="474">
        <v>5716524.8300000001</v>
      </c>
      <c r="O20" s="476">
        <v>6438381.6499999994</v>
      </c>
      <c r="P20" s="477">
        <v>6040048.5300000003</v>
      </c>
      <c r="Q20" s="477">
        <v>6496703.2199999997</v>
      </c>
      <c r="R20" s="477"/>
      <c r="S20" s="477">
        <v>7142066.9199999999</v>
      </c>
      <c r="T20" s="477">
        <v>12935084.869999999</v>
      </c>
      <c r="U20" s="477">
        <v>6009490.4799999995</v>
      </c>
      <c r="V20" s="477"/>
      <c r="W20" s="477">
        <v>5046612.0999999996</v>
      </c>
      <c r="X20" s="477">
        <v>13149378.9</v>
      </c>
      <c r="Y20" s="477">
        <v>5660627.5599999996</v>
      </c>
      <c r="Z20" s="477">
        <f>5046612.1+5660627.56</f>
        <v>10707239.66</v>
      </c>
      <c r="AA20" s="477">
        <v>5935136.6699999999</v>
      </c>
      <c r="AB20" s="477"/>
      <c r="AC20" s="476">
        <f t="shared" si="0"/>
        <v>5937315.1900000107</v>
      </c>
      <c r="AD20" s="601"/>
      <c r="AE20" s="476">
        <f t="shared" si="1"/>
        <v>19298373.300000012</v>
      </c>
      <c r="AF20" s="476">
        <f t="shared" si="2"/>
        <v>71633352.209999993</v>
      </c>
      <c r="AG20" s="537">
        <f t="shared" si="3"/>
        <v>84994410.319999993</v>
      </c>
      <c r="AH20" s="474">
        <f t="shared" si="4"/>
        <v>5937315.1900000125</v>
      </c>
      <c r="AI20" s="591"/>
    </row>
    <row r="21" spans="1:35" s="538" customFormat="1" hidden="1" x14ac:dyDescent="0.45">
      <c r="A21" s="689" t="s">
        <v>36</v>
      </c>
      <c r="B21" s="474">
        <v>8970617.0699999966</v>
      </c>
      <c r="C21" s="475"/>
      <c r="D21" s="474">
        <v>2880021.37</v>
      </c>
      <c r="E21" s="474">
        <v>1290774.48</v>
      </c>
      <c r="F21" s="474">
        <f>1323345.76</f>
        <v>1323345.76</v>
      </c>
      <c r="G21" s="477">
        <v>1360443.38</v>
      </c>
      <c r="H21" s="474">
        <f>3628368.61</f>
        <v>3628368.61</v>
      </c>
      <c r="I21" s="474">
        <v>1404773.9300000002</v>
      </c>
      <c r="J21" s="474">
        <v>1290774.48</v>
      </c>
      <c r="K21" s="474">
        <v>1334054.3699999999</v>
      </c>
      <c r="L21" s="474"/>
      <c r="M21" s="477">
        <v>1408597.01</v>
      </c>
      <c r="N21" s="474"/>
      <c r="O21" s="476">
        <v>1349208.1</v>
      </c>
      <c r="P21" s="477"/>
      <c r="Q21" s="477">
        <v>1344817.81</v>
      </c>
      <c r="R21" s="477"/>
      <c r="S21" s="477">
        <v>1410673.9600000002</v>
      </c>
      <c r="T21" s="477">
        <f>2738828.3+1408597.01+1360443.38</f>
        <v>5507868.6899999995</v>
      </c>
      <c r="U21" s="477">
        <v>1280472.53</v>
      </c>
      <c r="V21" s="477">
        <f>2694025.91</f>
        <v>2694025.91</v>
      </c>
      <c r="W21" s="477">
        <v>1261730.23</v>
      </c>
      <c r="X21" s="477"/>
      <c r="Y21" s="477">
        <v>1276880.75</v>
      </c>
      <c r="Z21" s="477"/>
      <c r="AA21" s="477">
        <v>915460.70000000007</v>
      </c>
      <c r="AB21" s="477"/>
      <c r="AC21" s="476">
        <f t="shared" si="0"/>
        <v>7284099.4999999972</v>
      </c>
      <c r="AD21" s="601"/>
      <c r="AE21" s="476">
        <f t="shared" si="1"/>
        <v>8970617.0699999966</v>
      </c>
      <c r="AF21" s="476">
        <f t="shared" si="2"/>
        <v>15637887.25</v>
      </c>
      <c r="AG21" s="537">
        <f t="shared" si="3"/>
        <v>17324404.82</v>
      </c>
      <c r="AH21" s="474">
        <f t="shared" si="4"/>
        <v>7284099.4999999963</v>
      </c>
      <c r="AI21" s="591"/>
    </row>
    <row r="22" spans="1:35" s="538" customFormat="1" x14ac:dyDescent="0.45">
      <c r="A22" s="689" t="s">
        <v>23</v>
      </c>
      <c r="B22" s="474">
        <v>2261316.9900000002</v>
      </c>
      <c r="C22" s="475"/>
      <c r="D22" s="474"/>
      <c r="E22" s="474">
        <v>2980886.62</v>
      </c>
      <c r="F22" s="474"/>
      <c r="G22" s="477">
        <v>3042250.27</v>
      </c>
      <c r="H22" s="474">
        <v>3003322.91</v>
      </c>
      <c r="I22" s="474">
        <v>3221292.5</v>
      </c>
      <c r="J22" s="474">
        <f>2912386.56+3034029.52</f>
        <v>5946416.0800000001</v>
      </c>
      <c r="K22" s="474">
        <v>3176637.27</v>
      </c>
      <c r="L22" s="474">
        <v>3212534.78</v>
      </c>
      <c r="M22" s="474">
        <v>3100012.6500000004</v>
      </c>
      <c r="N22" s="474">
        <v>3171203.89</v>
      </c>
      <c r="O22" s="476">
        <v>3251669.7399999998</v>
      </c>
      <c r="P22" s="477">
        <f>3091444.19</f>
        <v>3091444.19</v>
      </c>
      <c r="Q22" s="477">
        <v>3198481.2</v>
      </c>
      <c r="R22" s="477">
        <v>3239619.96</v>
      </c>
      <c r="S22" s="477">
        <v>3149578.59</v>
      </c>
      <c r="T22" s="477">
        <f>3155912.33+3133450.85</f>
        <v>6289363.1799999997</v>
      </c>
      <c r="U22" s="477">
        <v>2874741.96</v>
      </c>
      <c r="V22" s="477"/>
      <c r="W22" s="477">
        <v>2391357.5099999998</v>
      </c>
      <c r="X22" s="477">
        <f>2858076.64</f>
        <v>2858076.64</v>
      </c>
      <c r="Y22" s="477">
        <v>2860230.6399999997</v>
      </c>
      <c r="Z22" s="477">
        <f>2400595.74+2831929.69</f>
        <v>5232525.43</v>
      </c>
      <c r="AA22" s="477">
        <v>2703375.15</v>
      </c>
      <c r="AB22" s="477"/>
      <c r="AC22" s="476">
        <f t="shared" si="0"/>
        <v>2167324.0300000007</v>
      </c>
      <c r="AD22" s="601"/>
      <c r="AE22" s="476">
        <f t="shared" si="1"/>
        <v>2261316.9900000002</v>
      </c>
      <c r="AF22" s="476">
        <f t="shared" si="2"/>
        <v>35950514.100000001</v>
      </c>
      <c r="AG22" s="537">
        <f t="shared" si="3"/>
        <v>36044507.060000002</v>
      </c>
      <c r="AH22" s="474">
        <f t="shared" si="4"/>
        <v>2167324.0300000012</v>
      </c>
      <c r="AI22" s="591"/>
    </row>
    <row r="23" spans="1:35" s="538" customFormat="1" x14ac:dyDescent="0.45">
      <c r="A23" s="689" t="s">
        <v>21</v>
      </c>
      <c r="B23" s="474">
        <v>10446985.439999999</v>
      </c>
      <c r="C23" s="475"/>
      <c r="D23" s="474">
        <f>4748548.6+4584523.14</f>
        <v>9333071.7399999984</v>
      </c>
      <c r="E23" s="474">
        <v>3667416.38</v>
      </c>
      <c r="F23" s="474"/>
      <c r="G23" s="477">
        <v>3230379.11</v>
      </c>
      <c r="H23" s="474">
        <f>2338695.86</f>
        <v>2338695.86</v>
      </c>
      <c r="I23" s="474">
        <v>3038727.81</v>
      </c>
      <c r="J23" s="474">
        <f>3002333.6</f>
        <v>3002333.6</v>
      </c>
      <c r="K23" s="474">
        <v>3311749.98</v>
      </c>
      <c r="L23" s="474"/>
      <c r="M23" s="474">
        <v>3273787.02</v>
      </c>
      <c r="N23" s="474">
        <v>3075304.22</v>
      </c>
      <c r="O23" s="476">
        <v>3253442.77</v>
      </c>
      <c r="P23" s="477">
        <f>3311749.98</f>
        <v>3311749.98</v>
      </c>
      <c r="Q23" s="477">
        <v>3495649.77</v>
      </c>
      <c r="R23" s="477">
        <f>5514377.72+3273787.02</f>
        <v>8788164.7400000002</v>
      </c>
      <c r="S23" s="477">
        <v>3333709.27</v>
      </c>
      <c r="T23" s="477"/>
      <c r="U23" s="477">
        <v>3238285.5200000005</v>
      </c>
      <c r="V23" s="477">
        <f>3495649.77</f>
        <v>3495649.77</v>
      </c>
      <c r="W23" s="477">
        <v>3008072.1900000004</v>
      </c>
      <c r="X23" s="477"/>
      <c r="Y23" s="477">
        <v>2892365.87</v>
      </c>
      <c r="Z23" s="477"/>
      <c r="AA23" s="477">
        <v>1748362.15</v>
      </c>
      <c r="AB23" s="477"/>
      <c r="AC23" s="476">
        <f t="shared" si="0"/>
        <v>14593963.370000003</v>
      </c>
      <c r="AD23" s="601"/>
      <c r="AE23" s="476">
        <f t="shared" si="1"/>
        <v>10446985.439999999</v>
      </c>
      <c r="AF23" s="476">
        <f t="shared" si="2"/>
        <v>37491947.839999996</v>
      </c>
      <c r="AG23" s="537">
        <f t="shared" si="3"/>
        <v>33344969.91</v>
      </c>
      <c r="AH23" s="474">
        <f t="shared" si="4"/>
        <v>14593963.369999994</v>
      </c>
      <c r="AI23" s="591"/>
    </row>
    <row r="24" spans="1:35" s="538" customFormat="1" x14ac:dyDescent="0.45">
      <c r="A24" s="689" t="s">
        <v>185</v>
      </c>
      <c r="B24" s="474">
        <v>5721981.3500000006</v>
      </c>
      <c r="C24" s="475"/>
      <c r="D24" s="474">
        <f>3794378.82</f>
        <v>3794378.82</v>
      </c>
      <c r="E24" s="474">
        <v>675556.35</v>
      </c>
      <c r="F24" s="474"/>
      <c r="G24" s="477">
        <v>852874.95</v>
      </c>
      <c r="H24" s="474">
        <f>1505512.47</f>
        <v>1505512.47</v>
      </c>
      <c r="I24" s="474">
        <v>870580.53</v>
      </c>
      <c r="J24" s="474">
        <v>852874.95</v>
      </c>
      <c r="K24" s="474">
        <v>862711.65999999992</v>
      </c>
      <c r="L24" s="474"/>
      <c r="M24" s="474">
        <v>871657.94</v>
      </c>
      <c r="N24" s="474">
        <v>1733292.19</v>
      </c>
      <c r="O24" s="476">
        <v>895211.86999999988</v>
      </c>
      <c r="P24" s="477">
        <v>871657.94</v>
      </c>
      <c r="Q24" s="477">
        <v>903166.56</v>
      </c>
      <c r="R24" s="477">
        <v>895211.87</v>
      </c>
      <c r="S24" s="477">
        <v>844826.91</v>
      </c>
      <c r="T24" s="477">
        <f>903166.56+844826.91</f>
        <v>1747993.4700000002</v>
      </c>
      <c r="U24" s="477">
        <v>748145.15</v>
      </c>
      <c r="V24" s="477">
        <f>748145.15</f>
        <v>748145.15</v>
      </c>
      <c r="W24" s="477">
        <v>696953.33</v>
      </c>
      <c r="X24" s="477">
        <f>696953.33</f>
        <v>696953.33</v>
      </c>
      <c r="Y24" s="477">
        <v>784655.55</v>
      </c>
      <c r="Z24" s="477">
        <f>611801.46</f>
        <v>611801.46</v>
      </c>
      <c r="AA24" s="477">
        <v>738054.34</v>
      </c>
      <c r="AB24" s="477"/>
      <c r="AC24" s="476">
        <f t="shared" si="0"/>
        <v>2008554.8400000008</v>
      </c>
      <c r="AD24" s="601"/>
      <c r="AE24" s="476">
        <f t="shared" si="1"/>
        <v>5721981.3500000006</v>
      </c>
      <c r="AF24" s="476">
        <f t="shared" si="2"/>
        <v>9744395.1400000006</v>
      </c>
      <c r="AG24" s="537">
        <f t="shared" si="3"/>
        <v>13457821.649999999</v>
      </c>
      <c r="AH24" s="474">
        <f t="shared" si="4"/>
        <v>2008554.8400000036</v>
      </c>
      <c r="AI24" s="591"/>
    </row>
    <row r="25" spans="1:35" s="538" customFormat="1" x14ac:dyDescent="0.45">
      <c r="A25" s="689" t="s">
        <v>89</v>
      </c>
      <c r="B25" s="474">
        <v>-4655.5600000000559</v>
      </c>
      <c r="C25" s="475"/>
      <c r="D25" s="474"/>
      <c r="E25" s="474">
        <v>0</v>
      </c>
      <c r="F25" s="474"/>
      <c r="G25" s="477">
        <v>0</v>
      </c>
      <c r="H25" s="474"/>
      <c r="I25" s="474">
        <v>0</v>
      </c>
      <c r="J25" s="474"/>
      <c r="K25" s="474">
        <v>0</v>
      </c>
      <c r="L25" s="474"/>
      <c r="M25" s="474">
        <v>0</v>
      </c>
      <c r="N25" s="474"/>
      <c r="O25" s="476"/>
      <c r="P25" s="477"/>
      <c r="Q25" s="477">
        <v>0</v>
      </c>
      <c r="R25" s="477"/>
      <c r="S25" s="477">
        <v>0</v>
      </c>
      <c r="T25" s="477"/>
      <c r="U25" s="477"/>
      <c r="V25" s="477"/>
      <c r="W25" s="477">
        <v>0</v>
      </c>
      <c r="X25" s="477"/>
      <c r="Y25" s="477"/>
      <c r="Z25" s="477"/>
      <c r="AA25" s="477">
        <v>0</v>
      </c>
      <c r="AB25" s="477"/>
      <c r="AC25" s="476">
        <f t="shared" si="0"/>
        <v>-4655.5600000000559</v>
      </c>
      <c r="AD25" s="601"/>
      <c r="AE25" s="476">
        <f t="shared" si="1"/>
        <v>-4655.5600000000559</v>
      </c>
      <c r="AF25" s="476">
        <f t="shared" si="2"/>
        <v>0</v>
      </c>
      <c r="AG25" s="537">
        <f t="shared" si="3"/>
        <v>0</v>
      </c>
      <c r="AH25" s="474">
        <f t="shared" si="4"/>
        <v>-4655.5600000000559</v>
      </c>
      <c r="AI25" s="591"/>
    </row>
    <row r="26" spans="1:35" s="538" customFormat="1" x14ac:dyDescent="0.45">
      <c r="A26" s="689" t="s">
        <v>308</v>
      </c>
      <c r="B26" s="474">
        <v>1758270.3500000008</v>
      </c>
      <c r="C26" s="475"/>
      <c r="D26" s="474">
        <v>1376745.71</v>
      </c>
      <c r="E26" s="474">
        <v>835328.23</v>
      </c>
      <c r="F26" s="474"/>
      <c r="G26" s="477">
        <v>804508.42999999993</v>
      </c>
      <c r="H26" s="474">
        <f>835328.23</f>
        <v>835328.23</v>
      </c>
      <c r="I26" s="474">
        <v>772791.83</v>
      </c>
      <c r="J26" s="474">
        <f>804508.43+772791.83</f>
        <v>1577300.26</v>
      </c>
      <c r="K26" s="474">
        <v>718767.57</v>
      </c>
      <c r="L26" s="474">
        <v>871651.47</v>
      </c>
      <c r="M26" s="474">
        <v>642032.76</v>
      </c>
      <c r="N26" s="474">
        <v>642032.76</v>
      </c>
      <c r="O26" s="476">
        <v>568405.80999999994</v>
      </c>
      <c r="P26" s="477"/>
      <c r="Q26" s="477">
        <v>579144.75</v>
      </c>
      <c r="R26" s="477">
        <v>568405.81000000006</v>
      </c>
      <c r="S26" s="477">
        <v>578886.52</v>
      </c>
      <c r="T26" s="477">
        <f>579144.75+578886.52</f>
        <v>1158031.27</v>
      </c>
      <c r="U26" s="477">
        <v>476784.23</v>
      </c>
      <c r="V26" s="477">
        <f>476784.23</f>
        <v>476784.23</v>
      </c>
      <c r="W26" s="477">
        <v>448141.57</v>
      </c>
      <c r="X26" s="477"/>
      <c r="Y26" s="477">
        <v>518008.02</v>
      </c>
      <c r="Z26" s="530">
        <f>448141.57+518008.02</f>
        <v>966149.59000000008</v>
      </c>
      <c r="AA26" s="477">
        <v>630901.64</v>
      </c>
      <c r="AB26" s="477"/>
      <c r="AC26" s="476">
        <f t="shared" si="0"/>
        <v>859542.3800000007</v>
      </c>
      <c r="AD26" s="601"/>
      <c r="AE26" s="476">
        <f t="shared" si="1"/>
        <v>1758270.3500000008</v>
      </c>
      <c r="AF26" s="476">
        <f t="shared" si="2"/>
        <v>7573701.3599999985</v>
      </c>
      <c r="AG26" s="537">
        <f t="shared" si="3"/>
        <v>8472429.3300000001</v>
      </c>
      <c r="AH26" s="474">
        <f t="shared" si="4"/>
        <v>859542.37999999896</v>
      </c>
      <c r="AI26" s="591"/>
    </row>
    <row r="27" spans="1:35" s="538" customFormat="1" x14ac:dyDescent="0.45">
      <c r="A27" s="689" t="s">
        <v>85</v>
      </c>
      <c r="B27" s="474">
        <v>8552.9999999997672</v>
      </c>
      <c r="C27" s="475"/>
      <c r="D27" s="474"/>
      <c r="E27" s="474">
        <v>8553</v>
      </c>
      <c r="F27" s="474"/>
      <c r="G27" s="477">
        <v>8553</v>
      </c>
      <c r="H27" s="474"/>
      <c r="I27" s="474">
        <v>8553</v>
      </c>
      <c r="J27" s="474"/>
      <c r="K27" s="477">
        <v>8553</v>
      </c>
      <c r="L27" s="474"/>
      <c r="M27" s="474">
        <v>8553</v>
      </c>
      <c r="N27" s="474"/>
      <c r="O27" s="476">
        <v>8553</v>
      </c>
      <c r="P27" s="477"/>
      <c r="Q27" s="477">
        <v>8553</v>
      </c>
      <c r="R27" s="477"/>
      <c r="S27" s="477">
        <v>8553</v>
      </c>
      <c r="T27" s="477"/>
      <c r="U27" s="477">
        <v>8553</v>
      </c>
      <c r="V27" s="477"/>
      <c r="W27" s="477">
        <v>8553</v>
      </c>
      <c r="X27" s="477"/>
      <c r="Y27" s="477">
        <v>8553</v>
      </c>
      <c r="Z27" s="477"/>
      <c r="AA27" s="477">
        <v>8553</v>
      </c>
      <c r="AB27" s="477"/>
      <c r="AC27" s="476">
        <f t="shared" si="0"/>
        <v>111188.99999999977</v>
      </c>
      <c r="AD27" s="601"/>
      <c r="AE27" s="476">
        <f t="shared" si="1"/>
        <v>8552.9999999997672</v>
      </c>
      <c r="AF27" s="476">
        <f t="shared" si="2"/>
        <v>102636</v>
      </c>
      <c r="AG27" s="537">
        <f t="shared" si="3"/>
        <v>0</v>
      </c>
      <c r="AH27" s="474">
        <f t="shared" si="4"/>
        <v>111188.99999999977</v>
      </c>
      <c r="AI27" s="591"/>
    </row>
    <row r="28" spans="1:35" s="538" customFormat="1" x14ac:dyDescent="0.45">
      <c r="A28" s="689" t="s">
        <v>37</v>
      </c>
      <c r="B28" s="474">
        <v>1100993.3399999971</v>
      </c>
      <c r="C28" s="475"/>
      <c r="D28" s="474">
        <v>426967.57</v>
      </c>
      <c r="E28" s="474">
        <v>431058.54</v>
      </c>
      <c r="F28" s="474"/>
      <c r="G28" s="477">
        <v>849148.49</v>
      </c>
      <c r="H28" s="474"/>
      <c r="I28" s="474">
        <v>470587.54</v>
      </c>
      <c r="J28" s="474">
        <f>431058.54</f>
        <v>431058.54</v>
      </c>
      <c r="K28" s="474">
        <v>438286.14</v>
      </c>
      <c r="L28" s="474">
        <f>489009.71</f>
        <v>489009.71</v>
      </c>
      <c r="M28" s="474">
        <v>890518.09</v>
      </c>
      <c r="N28" s="474"/>
      <c r="O28" s="476">
        <v>57767.520000000033</v>
      </c>
      <c r="P28" s="477">
        <f>438268.14+57767.52+890518.09</f>
        <v>1386553.75</v>
      </c>
      <c r="Q28" s="477">
        <v>449852.29</v>
      </c>
      <c r="R28" s="477">
        <f>470587.54+449852.29</f>
        <v>920439.83</v>
      </c>
      <c r="S28" s="477">
        <v>421020.64</v>
      </c>
      <c r="T28" s="477"/>
      <c r="U28" s="477">
        <v>375914.66000000003</v>
      </c>
      <c r="V28" s="477"/>
      <c r="W28" s="477">
        <v>353009.81</v>
      </c>
      <c r="X28" s="477">
        <f>421020.64</f>
        <v>421020.64</v>
      </c>
      <c r="Y28" s="477">
        <v>490169.33999999997</v>
      </c>
      <c r="Z28" s="477">
        <f>375914.66+353009.81</f>
        <v>728924.47</v>
      </c>
      <c r="AA28" s="477">
        <v>1270456.56</v>
      </c>
      <c r="AB28" s="477"/>
      <c r="AC28" s="476">
        <f t="shared" si="0"/>
        <v>2794808.4499999974</v>
      </c>
      <c r="AD28" s="601"/>
      <c r="AE28" s="476">
        <f t="shared" si="1"/>
        <v>1100993.3399999971</v>
      </c>
      <c r="AF28" s="476">
        <f t="shared" si="2"/>
        <v>6497789.6199999992</v>
      </c>
      <c r="AG28" s="537">
        <f t="shared" si="3"/>
        <v>4803974.5100000007</v>
      </c>
      <c r="AH28" s="474">
        <f t="shared" si="4"/>
        <v>2794808.4499999955</v>
      </c>
      <c r="AI28" s="591"/>
    </row>
    <row r="29" spans="1:35" s="538" customFormat="1" x14ac:dyDescent="0.45">
      <c r="A29" s="689" t="s">
        <v>28</v>
      </c>
      <c r="B29" s="474">
        <v>612477.32000000088</v>
      </c>
      <c r="C29" s="475"/>
      <c r="D29" s="474">
        <f>196583.99</f>
        <v>196583.99</v>
      </c>
      <c r="E29" s="474">
        <v>137255.45000000001</v>
      </c>
      <c r="F29" s="474">
        <f>81288.28</f>
        <v>81288.28</v>
      </c>
      <c r="G29" s="575">
        <v>150440.56</v>
      </c>
      <c r="H29" s="474">
        <f>126427.76</f>
        <v>126427.76</v>
      </c>
      <c r="I29" s="474">
        <v>4695332.7700000005</v>
      </c>
      <c r="J29" s="474">
        <v>135630.53</v>
      </c>
      <c r="K29" s="474">
        <v>140569.52000000002</v>
      </c>
      <c r="L29" s="474">
        <v>132030.67000000001</v>
      </c>
      <c r="M29" s="474">
        <v>145351.9</v>
      </c>
      <c r="N29" s="474"/>
      <c r="O29" s="476">
        <v>-4379490.9700000007</v>
      </c>
      <c r="P29" s="477">
        <f>141965.66+133405.56+137183.28</f>
        <v>412554.5</v>
      </c>
      <c r="Q29" s="477">
        <v>169038.53</v>
      </c>
      <c r="R29" s="477">
        <f>165652.29</f>
        <v>165652.29</v>
      </c>
      <c r="S29" s="477">
        <v>84798.31</v>
      </c>
      <c r="T29" s="477"/>
      <c r="U29" s="477">
        <v>190563.5</v>
      </c>
      <c r="V29" s="477">
        <f>204809.98</f>
        <v>204809.98</v>
      </c>
      <c r="W29" s="477">
        <v>214721.63999999998</v>
      </c>
      <c r="X29" s="477">
        <v>131792.4</v>
      </c>
      <c r="Y29" s="477">
        <v>74248.179999999993</v>
      </c>
      <c r="Z29" s="477">
        <v>143900.94</v>
      </c>
      <c r="AA29" s="477">
        <v>240872.59</v>
      </c>
      <c r="AB29" s="477"/>
      <c r="AC29" s="476">
        <f t="shared" si="0"/>
        <v>745507.96000000031</v>
      </c>
      <c r="AD29" s="601"/>
      <c r="AE29" s="476">
        <f t="shared" si="1"/>
        <v>612477.32000000088</v>
      </c>
      <c r="AF29" s="476">
        <f t="shared" si="2"/>
        <v>1863701.9800000004</v>
      </c>
      <c r="AG29" s="537">
        <f t="shared" si="3"/>
        <v>1730671.3399999999</v>
      </c>
      <c r="AH29" s="474">
        <f t="shared" si="4"/>
        <v>745507.96000000136</v>
      </c>
      <c r="AI29" s="591"/>
    </row>
    <row r="30" spans="1:35" s="538" customFormat="1" x14ac:dyDescent="0.45">
      <c r="A30" s="689" t="s">
        <v>91</v>
      </c>
      <c r="B30" s="474">
        <v>-501.40999999968335</v>
      </c>
      <c r="C30" s="475"/>
      <c r="D30" s="474"/>
      <c r="E30" s="474">
        <v>0</v>
      </c>
      <c r="F30" s="474"/>
      <c r="G30" s="477">
        <v>0</v>
      </c>
      <c r="H30" s="474"/>
      <c r="I30" s="474">
        <v>0</v>
      </c>
      <c r="J30" s="474"/>
      <c r="K30" s="474">
        <v>0</v>
      </c>
      <c r="L30" s="474"/>
      <c r="M30" s="474">
        <v>0</v>
      </c>
      <c r="N30" s="474"/>
      <c r="O30" s="476"/>
      <c r="P30" s="477"/>
      <c r="Q30" s="477">
        <v>0</v>
      </c>
      <c r="R30" s="477"/>
      <c r="S30" s="477">
        <v>0</v>
      </c>
      <c r="T30" s="477"/>
      <c r="U30" s="477"/>
      <c r="V30" s="477"/>
      <c r="W30" s="477">
        <v>0</v>
      </c>
      <c r="X30" s="477"/>
      <c r="Y30" s="477"/>
      <c r="Z30" s="477"/>
      <c r="AA30" s="477">
        <v>0</v>
      </c>
      <c r="AB30" s="477"/>
      <c r="AC30" s="476">
        <f t="shared" si="0"/>
        <v>-501.40999999968335</v>
      </c>
      <c r="AD30" s="601"/>
      <c r="AE30" s="476">
        <f t="shared" si="1"/>
        <v>-501.40999999968335</v>
      </c>
      <c r="AF30" s="476">
        <f t="shared" si="2"/>
        <v>0</v>
      </c>
      <c r="AG30" s="537">
        <f t="shared" si="3"/>
        <v>0</v>
      </c>
      <c r="AH30" s="474">
        <f t="shared" si="4"/>
        <v>-501.40999999968335</v>
      </c>
      <c r="AI30" s="591"/>
    </row>
    <row r="31" spans="1:35" s="538" customFormat="1" x14ac:dyDescent="0.45">
      <c r="A31" s="689" t="s">
        <v>57</v>
      </c>
      <c r="B31" s="474">
        <v>828394.73999999836</v>
      </c>
      <c r="C31" s="475"/>
      <c r="D31" s="474"/>
      <c r="E31" s="477">
        <v>1087170.2</v>
      </c>
      <c r="F31" s="474"/>
      <c r="G31" s="477">
        <v>1334895.79</v>
      </c>
      <c r="H31" s="474">
        <f>616307.92</f>
        <v>616307.92000000004</v>
      </c>
      <c r="I31" s="474">
        <v>1043541.79</v>
      </c>
      <c r="J31" s="474">
        <f>1024701.79+1018642.98</f>
        <v>2043344.77</v>
      </c>
      <c r="K31" s="477">
        <v>1102193.8500000001</v>
      </c>
      <c r="L31" s="474">
        <f>1087170.2+1102193.85</f>
        <v>2189364.0499999998</v>
      </c>
      <c r="M31" s="474">
        <v>1099690.56</v>
      </c>
      <c r="N31" s="474"/>
      <c r="O31" s="476">
        <v>1164541.03</v>
      </c>
      <c r="P31" s="477">
        <v>2264231.59</v>
      </c>
      <c r="Q31" s="477">
        <v>1132318.53</v>
      </c>
      <c r="R31" s="477"/>
      <c r="S31" s="477">
        <v>1251400.4700000002</v>
      </c>
      <c r="T31" s="477">
        <f>1132318.53</f>
        <v>1132318.53</v>
      </c>
      <c r="U31" s="477">
        <v>1310630.4299999997</v>
      </c>
      <c r="V31" s="477">
        <f>1251400.47+1310630.43</f>
        <v>2562030.9</v>
      </c>
      <c r="W31" s="477">
        <v>1131687.0699999998</v>
      </c>
      <c r="X31" s="477"/>
      <c r="Y31" s="477">
        <v>1227515.5999999999</v>
      </c>
      <c r="Z31" s="530">
        <f>1131687.07</f>
        <v>1131687.07</v>
      </c>
      <c r="AA31" s="477">
        <v>1391439.27</v>
      </c>
      <c r="AB31" s="477"/>
      <c r="AC31" s="476">
        <f t="shared" si="0"/>
        <v>3166134.4999999981</v>
      </c>
      <c r="AD31" s="601"/>
      <c r="AE31" s="476">
        <f t="shared" si="1"/>
        <v>828394.73999999836</v>
      </c>
      <c r="AF31" s="476">
        <f t="shared" si="2"/>
        <v>14277024.590000002</v>
      </c>
      <c r="AG31" s="537">
        <f t="shared" si="3"/>
        <v>11939284.83</v>
      </c>
      <c r="AH31" s="474">
        <f t="shared" si="4"/>
        <v>3166134.5</v>
      </c>
      <c r="AI31" s="591"/>
    </row>
    <row r="32" spans="1:35" s="538" customFormat="1" x14ac:dyDescent="0.45">
      <c r="A32" s="689" t="s">
        <v>65</v>
      </c>
      <c r="B32" s="474">
        <v>258436.83999999979</v>
      </c>
      <c r="C32" s="475"/>
      <c r="D32" s="474"/>
      <c r="E32" s="474">
        <v>78222.92</v>
      </c>
      <c r="F32" s="474"/>
      <c r="G32" s="477">
        <v>72148.259999999995</v>
      </c>
      <c r="H32" s="474">
        <f>78222.92</f>
        <v>78222.92</v>
      </c>
      <c r="I32" s="474">
        <v>75692.039999999994</v>
      </c>
      <c r="J32" s="474">
        <v>164930.73000000001</v>
      </c>
      <c r="K32" s="474">
        <v>72707.34</v>
      </c>
      <c r="L32" s="474"/>
      <c r="M32" s="474">
        <v>82389.58</v>
      </c>
      <c r="N32" s="474">
        <v>301921.07</v>
      </c>
      <c r="O32" s="476">
        <v>76395.11</v>
      </c>
      <c r="P32" s="477"/>
      <c r="Q32" s="477">
        <v>79097.570000000007</v>
      </c>
      <c r="R32" s="477">
        <f>155492.68+82389.58</f>
        <v>237882.26</v>
      </c>
      <c r="S32" s="477">
        <v>74253.27</v>
      </c>
      <c r="T32" s="477"/>
      <c r="U32" s="477">
        <v>74640.600000000006</v>
      </c>
      <c r="V32" s="477">
        <f>74253.47</f>
        <v>74253.47</v>
      </c>
      <c r="W32" s="477">
        <v>74130.680000000008</v>
      </c>
      <c r="X32" s="477">
        <f>74130.68+74640.6</f>
        <v>148771.28</v>
      </c>
      <c r="Y32" s="477">
        <v>84636.36</v>
      </c>
      <c r="Z32" s="530"/>
      <c r="AA32" s="477">
        <v>74146.649999999994</v>
      </c>
      <c r="AB32" s="477"/>
      <c r="AC32" s="476">
        <f t="shared" si="0"/>
        <v>170915.48999999976</v>
      </c>
      <c r="AD32" s="601"/>
      <c r="AE32" s="476">
        <f t="shared" si="1"/>
        <v>258436.83999999979</v>
      </c>
      <c r="AF32" s="476">
        <f t="shared" si="2"/>
        <v>918460.38</v>
      </c>
      <c r="AG32" s="537">
        <f t="shared" si="3"/>
        <v>1005981.73</v>
      </c>
      <c r="AH32" s="474">
        <f t="shared" si="4"/>
        <v>170915.48999999976</v>
      </c>
      <c r="AI32" s="591"/>
    </row>
    <row r="33" spans="1:37" s="538" customFormat="1" x14ac:dyDescent="0.45">
      <c r="A33" s="689" t="s">
        <v>335</v>
      </c>
      <c r="B33" s="474">
        <v>3066566.2500000042</v>
      </c>
      <c r="C33" s="475"/>
      <c r="D33" s="474"/>
      <c r="E33" s="474">
        <v>-204548.52999999991</v>
      </c>
      <c r="F33" s="474"/>
      <c r="G33" s="477">
        <v>1462388.1800000002</v>
      </c>
      <c r="H33" s="474"/>
      <c r="I33" s="474">
        <v>1420474.5</v>
      </c>
      <c r="J33" s="474">
        <f>1385650.25</f>
        <v>1385650.25</v>
      </c>
      <c r="K33" s="474">
        <v>1460256.5899999999</v>
      </c>
      <c r="L33" s="474"/>
      <c r="M33" s="477">
        <v>1699265.29</v>
      </c>
      <c r="N33" s="474"/>
      <c r="O33" s="476">
        <v>1561825.85</v>
      </c>
      <c r="P33" s="477">
        <f>2601347.17+1736182.12+2308979.46+867180.28</f>
        <v>7513689.0300000003</v>
      </c>
      <c r="Q33" s="477">
        <v>1680648.93</v>
      </c>
      <c r="R33" s="477"/>
      <c r="S33" s="477">
        <v>1560309.54</v>
      </c>
      <c r="T33" s="477">
        <v>2240626.1</v>
      </c>
      <c r="U33" s="477">
        <v>1465274.12</v>
      </c>
      <c r="V33" s="477"/>
      <c r="W33" s="477">
        <v>1308806.68</v>
      </c>
      <c r="X33" s="477">
        <v>1001848.68</v>
      </c>
      <c r="Y33" s="575">
        <v>1384106.5400000003</v>
      </c>
      <c r="Z33" s="477">
        <f>3097198.62+1237191.72+1384106.54</f>
        <v>5718496.8799999999</v>
      </c>
      <c r="AA33" s="477">
        <v>1622410.8599999999</v>
      </c>
      <c r="AB33" s="477"/>
      <c r="AC33" s="476">
        <f t="shared" si="0"/>
        <v>1627473.8600000045</v>
      </c>
      <c r="AD33" s="601"/>
      <c r="AE33" s="476">
        <f t="shared" si="1"/>
        <v>3066566.2500000042</v>
      </c>
      <c r="AF33" s="476">
        <f t="shared" si="2"/>
        <v>16421218.550000003</v>
      </c>
      <c r="AG33" s="537">
        <f t="shared" si="3"/>
        <v>17860310.940000001</v>
      </c>
      <c r="AH33" s="474">
        <f t="shared" si="4"/>
        <v>1627473.8600000069</v>
      </c>
      <c r="AI33" s="591"/>
    </row>
    <row r="34" spans="1:37" s="538" customFormat="1" x14ac:dyDescent="0.45">
      <c r="A34" s="689" t="s">
        <v>186</v>
      </c>
      <c r="B34" s="474">
        <v>133774.10000000105</v>
      </c>
      <c r="C34" s="475"/>
      <c r="D34" s="474">
        <v>121662.55</v>
      </c>
      <c r="E34" s="474">
        <v>73873.680000000008</v>
      </c>
      <c r="F34" s="474">
        <f>12111.55</f>
        <v>12111.55</v>
      </c>
      <c r="G34" s="477">
        <v>66777.06</v>
      </c>
      <c r="H34" s="474">
        <f>73873.68+66777.06</f>
        <v>140650.74</v>
      </c>
      <c r="I34" s="474">
        <v>79716.26999999999</v>
      </c>
      <c r="J34" s="474"/>
      <c r="K34" s="474">
        <v>81075.97</v>
      </c>
      <c r="L34" s="474">
        <f>71998.39+73100.83</f>
        <v>145099.22</v>
      </c>
      <c r="M34" s="474">
        <v>80205.11</v>
      </c>
      <c r="N34" s="474">
        <v>72229.97</v>
      </c>
      <c r="O34" s="476">
        <v>80624.62</v>
      </c>
      <c r="P34" s="477"/>
      <c r="Q34" s="477">
        <v>81313.179999999993</v>
      </c>
      <c r="R34" s="477">
        <f>72906.74</f>
        <v>72906.740000000005</v>
      </c>
      <c r="S34" s="477">
        <v>83272.61</v>
      </c>
      <c r="T34" s="477">
        <f>73338.04+75554.73</f>
        <v>148892.76999999999</v>
      </c>
      <c r="U34" s="477">
        <v>68636.819999999992</v>
      </c>
      <c r="V34" s="477"/>
      <c r="W34" s="477">
        <v>78821.76999999999</v>
      </c>
      <c r="X34" s="477">
        <f>68636.82+70846.63</f>
        <v>139483.45000000001</v>
      </c>
      <c r="Y34" s="477">
        <v>17104.800000000003</v>
      </c>
      <c r="Z34" s="477"/>
      <c r="AA34" s="477">
        <v>82701.66</v>
      </c>
      <c r="AB34" s="477"/>
      <c r="AC34" s="476">
        <f t="shared" si="0"/>
        <v>154860.66000000102</v>
      </c>
      <c r="AD34" s="601"/>
      <c r="AE34" s="476">
        <f t="shared" si="1"/>
        <v>133774.10000000105</v>
      </c>
      <c r="AF34" s="476">
        <f t="shared" si="2"/>
        <v>874123.54999999993</v>
      </c>
      <c r="AG34" s="537">
        <f t="shared" si="3"/>
        <v>853036.99</v>
      </c>
      <c r="AH34" s="474">
        <f t="shared" si="4"/>
        <v>154860.66000000096</v>
      </c>
      <c r="AI34" s="591"/>
    </row>
    <row r="35" spans="1:37" s="538" customFormat="1" x14ac:dyDescent="0.45">
      <c r="A35" s="689" t="s">
        <v>39</v>
      </c>
      <c r="B35" s="474">
        <v>4016297.84</v>
      </c>
      <c r="C35" s="475"/>
      <c r="D35" s="474">
        <v>1427760.03</v>
      </c>
      <c r="E35" s="574">
        <v>450260.26</v>
      </c>
      <c r="F35" s="474">
        <f>15875.1+127371.26+101446.05</f>
        <v>244692.40999999997</v>
      </c>
      <c r="G35" s="477">
        <v>457463.58</v>
      </c>
      <c r="H35" s="474">
        <f>500437.03+449506.51+59627.64+15253.73+669856.06</f>
        <v>1694680.9700000002</v>
      </c>
      <c r="I35" s="481">
        <v>471340.70999999996</v>
      </c>
      <c r="J35" s="474">
        <f>14580.96+25421.35+154807.36</f>
        <v>194809.66999999998</v>
      </c>
      <c r="K35" s="474">
        <v>472357.63</v>
      </c>
      <c r="L35" s="474">
        <f>110579.52+125420.97+81176.78+167352.34</f>
        <v>484529.61</v>
      </c>
      <c r="M35" s="474">
        <v>474518.73</v>
      </c>
      <c r="N35" s="474">
        <v>263033.71999999997</v>
      </c>
      <c r="O35" s="476">
        <v>516374.51999999996</v>
      </c>
      <c r="P35" s="477">
        <f>71849.38+21923.02+154659.95+176851.44+15226.55</f>
        <v>440510.34</v>
      </c>
      <c r="Q35" s="477">
        <v>495499.07</v>
      </c>
      <c r="R35" s="477">
        <f>12331.67+516374.52+168566.02+154375.13</f>
        <v>851647.34000000008</v>
      </c>
      <c r="S35" s="477">
        <v>495934.08999999997</v>
      </c>
      <c r="T35" s="477">
        <v>633325.31999999995</v>
      </c>
      <c r="U35" s="477">
        <v>434203.25</v>
      </c>
      <c r="V35" s="477">
        <f>495370.55</f>
        <v>495370.55</v>
      </c>
      <c r="W35" s="477">
        <v>423794.20999999996</v>
      </c>
      <c r="X35" s="477"/>
      <c r="Y35" s="477">
        <v>501251.87</v>
      </c>
      <c r="Z35" s="477">
        <f>416342.56</f>
        <v>416342.56</v>
      </c>
      <c r="AA35" s="477">
        <v>430565.98</v>
      </c>
      <c r="AB35" s="477"/>
      <c r="AC35" s="476">
        <f t="shared" si="0"/>
        <v>2493159.2199999988</v>
      </c>
      <c r="AD35" s="601"/>
      <c r="AE35" s="476">
        <f t="shared" si="1"/>
        <v>4016297.84</v>
      </c>
      <c r="AF35" s="476">
        <f t="shared" si="2"/>
        <v>5623563.9000000004</v>
      </c>
      <c r="AG35" s="537">
        <f t="shared" si="3"/>
        <v>7146702.5199999996</v>
      </c>
      <c r="AH35" s="474">
        <f t="shared" si="4"/>
        <v>2493159.2200000007</v>
      </c>
      <c r="AI35" s="591"/>
    </row>
    <row r="36" spans="1:37" s="538" customFormat="1" x14ac:dyDescent="0.45">
      <c r="A36" s="689" t="s">
        <v>73</v>
      </c>
      <c r="B36" s="474">
        <v>2103401.7800000003</v>
      </c>
      <c r="C36" s="475"/>
      <c r="D36" s="474">
        <v>1057938.81</v>
      </c>
      <c r="E36" s="481">
        <v>630827.09999999986</v>
      </c>
      <c r="F36" s="481"/>
      <c r="G36" s="539">
        <v>670637.78</v>
      </c>
      <c r="H36" s="481">
        <f>484223.1+630827.1</f>
        <v>1115050.2</v>
      </c>
      <c r="I36" s="481">
        <v>563791.80000000005</v>
      </c>
      <c r="J36" s="481">
        <v>670637.78</v>
      </c>
      <c r="K36" s="482">
        <v>565083.86</v>
      </c>
      <c r="L36" s="482">
        <v>552541.87</v>
      </c>
      <c r="M36" s="482">
        <v>497522.26</v>
      </c>
      <c r="N36" s="482"/>
      <c r="O36" s="476">
        <v>506032.44</v>
      </c>
      <c r="P36" s="477">
        <f>486795.26+552454.46</f>
        <v>1039249.72</v>
      </c>
      <c r="Q36" s="477">
        <v>638442.52</v>
      </c>
      <c r="R36" s="477">
        <v>495305.44</v>
      </c>
      <c r="S36" s="477">
        <v>576635.78</v>
      </c>
      <c r="T36" s="477"/>
      <c r="U36" s="477">
        <v>532068.66</v>
      </c>
      <c r="V36" s="477">
        <f>595149.01</f>
        <v>595149.01</v>
      </c>
      <c r="W36" s="477">
        <v>499020.65</v>
      </c>
      <c r="X36" s="477">
        <f>486657.53+523859.44</f>
        <v>1010516.97</v>
      </c>
      <c r="Y36" s="477">
        <v>514154.28</v>
      </c>
      <c r="Z36" s="530">
        <f>483492.81+492079.88</f>
        <v>975572.69</v>
      </c>
      <c r="AA36" s="477">
        <v>472530.21</v>
      </c>
      <c r="AB36" s="477"/>
      <c r="AC36" s="476">
        <f t="shared" si="0"/>
        <v>1258186.6300000008</v>
      </c>
      <c r="AD36" s="601"/>
      <c r="AE36" s="476">
        <f t="shared" si="1"/>
        <v>2103401.7800000003</v>
      </c>
      <c r="AF36" s="476">
        <f t="shared" si="2"/>
        <v>6666747.3400000008</v>
      </c>
      <c r="AG36" s="537">
        <f t="shared" si="3"/>
        <v>7511962.4900000002</v>
      </c>
      <c r="AH36" s="474">
        <f t="shared" si="4"/>
        <v>1258186.6300000008</v>
      </c>
      <c r="AI36" s="327"/>
    </row>
    <row r="37" spans="1:37" s="538" customFormat="1" x14ac:dyDescent="0.45">
      <c r="A37" s="689" t="s">
        <v>44</v>
      </c>
      <c r="B37" s="474">
        <v>-5.8207660913467407E-10</v>
      </c>
      <c r="C37" s="475"/>
      <c r="D37" s="474"/>
      <c r="E37" s="481">
        <v>0</v>
      </c>
      <c r="F37" s="481"/>
      <c r="G37" s="539">
        <v>0</v>
      </c>
      <c r="H37" s="481"/>
      <c r="I37" s="481">
        <v>0</v>
      </c>
      <c r="J37" s="481"/>
      <c r="K37" s="482">
        <v>0</v>
      </c>
      <c r="L37" s="482"/>
      <c r="M37" s="482">
        <v>0</v>
      </c>
      <c r="N37" s="482"/>
      <c r="O37" s="476"/>
      <c r="P37" s="477"/>
      <c r="Q37" s="477">
        <v>0</v>
      </c>
      <c r="R37" s="477"/>
      <c r="S37" s="477">
        <v>0</v>
      </c>
      <c r="T37" s="477"/>
      <c r="U37" s="477"/>
      <c r="V37" s="477"/>
      <c r="W37" s="477">
        <v>0</v>
      </c>
      <c r="X37" s="477"/>
      <c r="Y37" s="477"/>
      <c r="Z37" s="477"/>
      <c r="AA37" s="477">
        <v>0</v>
      </c>
      <c r="AB37" s="477"/>
      <c r="AC37" s="476">
        <f t="shared" si="0"/>
        <v>-5.8207660913467407E-10</v>
      </c>
      <c r="AD37" s="601"/>
      <c r="AE37" s="476">
        <f t="shared" si="1"/>
        <v>-5.8207660913467407E-10</v>
      </c>
      <c r="AF37" s="476">
        <f t="shared" si="2"/>
        <v>0</v>
      </c>
      <c r="AG37" s="537">
        <f t="shared" si="3"/>
        <v>0</v>
      </c>
      <c r="AH37" s="474">
        <f t="shared" si="4"/>
        <v>-5.8207660913467407E-10</v>
      </c>
      <c r="AI37" s="591"/>
    </row>
    <row r="38" spans="1:37" s="538" customFormat="1" x14ac:dyDescent="0.45">
      <c r="A38" s="689" t="s">
        <v>42</v>
      </c>
      <c r="B38" s="474">
        <v>523135.4499999996</v>
      </c>
      <c r="C38" s="475"/>
      <c r="D38" s="474"/>
      <c r="E38" s="481">
        <v>504559.86</v>
      </c>
      <c r="F38" s="481"/>
      <c r="G38" s="539">
        <v>459459.86000000004</v>
      </c>
      <c r="H38" s="481">
        <v>1015607.06</v>
      </c>
      <c r="I38" s="481">
        <v>494916.04000000004</v>
      </c>
      <c r="J38" s="481">
        <f>459459.86+494916.04</f>
        <v>954375.89999999991</v>
      </c>
      <c r="K38" s="482">
        <v>464489.31000000006</v>
      </c>
      <c r="L38" s="482">
        <v>464489.31</v>
      </c>
      <c r="M38" s="482">
        <v>470995.87</v>
      </c>
      <c r="N38" s="482"/>
      <c r="O38" s="476">
        <v>662340.79</v>
      </c>
      <c r="P38" s="477">
        <f>470995.87</f>
        <v>470995.87</v>
      </c>
      <c r="Q38" s="477">
        <v>485065.76</v>
      </c>
      <c r="R38" s="477"/>
      <c r="S38" s="477">
        <v>473147.23</v>
      </c>
      <c r="T38" s="477"/>
      <c r="U38" s="477">
        <v>436927.3</v>
      </c>
      <c r="V38" s="477"/>
      <c r="W38" s="477">
        <v>388514.14</v>
      </c>
      <c r="X38" s="477"/>
      <c r="Y38" s="477">
        <v>557342.9</v>
      </c>
      <c r="Z38" s="477">
        <v>3003338.12</v>
      </c>
      <c r="AA38" s="477">
        <v>391376.48</v>
      </c>
      <c r="AB38" s="477"/>
      <c r="AC38" s="476">
        <f t="shared" ref="AC38:AC69" si="5">B38-C38-D38+E38-F38+G38-H38+I38-J38+K38-L38+M38-N38+O38-P38+Q38-R38+S38-T38+U38-V38+W38-X38+Y38-Z38+AA38</f>
        <v>403464.72999999952</v>
      </c>
      <c r="AD38" s="601"/>
      <c r="AE38" s="476">
        <f t="shared" ref="AE38:AE69" si="6">B38</f>
        <v>523135.4499999996</v>
      </c>
      <c r="AF38" s="476">
        <f t="shared" ref="AF38:AF69" si="7">E38+G38+I38+K38+M38+O38+Q38+S38+U38+W38+Y38+AA38</f>
        <v>5789135.540000001</v>
      </c>
      <c r="AG38" s="537">
        <f t="shared" ref="AG38:AG69" si="8">D38+F38+H38+J38+L38+N38+P38+R38+T38+V38+X38+Z38</f>
        <v>5908806.2599999998</v>
      </c>
      <c r="AH38" s="474">
        <f t="shared" si="4"/>
        <v>403464.73000000045</v>
      </c>
      <c r="AI38" s="591"/>
    </row>
    <row r="39" spans="1:37" s="538" customFormat="1" x14ac:dyDescent="0.45">
      <c r="A39" s="689" t="s">
        <v>63</v>
      </c>
      <c r="B39" s="474">
        <v>-4925.8499999995111</v>
      </c>
      <c r="C39" s="475"/>
      <c r="D39" s="474"/>
      <c r="E39" s="481">
        <v>0</v>
      </c>
      <c r="F39" s="481"/>
      <c r="G39" s="539">
        <v>0</v>
      </c>
      <c r="H39" s="481"/>
      <c r="I39" s="481">
        <v>0</v>
      </c>
      <c r="J39" s="481"/>
      <c r="K39" s="482">
        <v>0</v>
      </c>
      <c r="L39" s="482"/>
      <c r="M39" s="482">
        <v>0</v>
      </c>
      <c r="N39" s="482"/>
      <c r="O39" s="476"/>
      <c r="P39" s="477"/>
      <c r="Q39" s="477">
        <v>0</v>
      </c>
      <c r="R39" s="477"/>
      <c r="S39" s="477">
        <v>0</v>
      </c>
      <c r="T39" s="477"/>
      <c r="U39" s="477"/>
      <c r="V39" s="477"/>
      <c r="W39" s="477">
        <v>0</v>
      </c>
      <c r="X39" s="477"/>
      <c r="Y39" s="477"/>
      <c r="Z39" s="477"/>
      <c r="AA39" s="477">
        <v>0</v>
      </c>
      <c r="AB39" s="477"/>
      <c r="AC39" s="476">
        <f t="shared" si="5"/>
        <v>-4925.8499999995111</v>
      </c>
      <c r="AD39" s="601"/>
      <c r="AE39" s="476">
        <f t="shared" si="6"/>
        <v>-4925.8499999995111</v>
      </c>
      <c r="AF39" s="476">
        <f t="shared" si="7"/>
        <v>0</v>
      </c>
      <c r="AG39" s="537">
        <f t="shared" si="8"/>
        <v>0</v>
      </c>
      <c r="AH39" s="474">
        <f t="shared" si="4"/>
        <v>-4925.8499999995111</v>
      </c>
      <c r="AI39" s="591"/>
    </row>
    <row r="40" spans="1:37" s="538" customFormat="1" x14ac:dyDescent="0.45">
      <c r="A40" s="689" t="s">
        <v>60</v>
      </c>
      <c r="B40" s="474">
        <v>2494699.1390000028</v>
      </c>
      <c r="C40" s="475"/>
      <c r="D40" s="474">
        <v>1467359.81</v>
      </c>
      <c r="E40" s="481">
        <v>986230.9</v>
      </c>
      <c r="F40" s="481">
        <f>833667.29</f>
        <v>833667.29</v>
      </c>
      <c r="G40" s="539">
        <v>835678.42999999993</v>
      </c>
      <c r="H40" s="481">
        <f>747494.36+986230.9</f>
        <v>1733725.26</v>
      </c>
      <c r="I40" s="481">
        <v>907013.28</v>
      </c>
      <c r="J40" s="481">
        <v>835678.43</v>
      </c>
      <c r="K40" s="482">
        <v>960638.06</v>
      </c>
      <c r="L40" s="482">
        <f>907013.28</f>
        <v>907013.28</v>
      </c>
      <c r="M40" s="482">
        <v>911409.34</v>
      </c>
      <c r="N40" s="482">
        <v>960638.06</v>
      </c>
      <c r="O40" s="476">
        <v>1143573.3299999998</v>
      </c>
      <c r="P40" s="477">
        <v>914409.34</v>
      </c>
      <c r="Q40" s="477">
        <v>874551.75</v>
      </c>
      <c r="R40" s="477">
        <f>1143573.33+874551.75</f>
        <v>2018125.08</v>
      </c>
      <c r="S40" s="477">
        <v>884910.56</v>
      </c>
      <c r="T40" s="477">
        <f>884910.56</f>
        <v>884910.56</v>
      </c>
      <c r="U40" s="477">
        <v>921957.84</v>
      </c>
      <c r="V40" s="477">
        <f>921957.84</f>
        <v>921957.84</v>
      </c>
      <c r="W40" s="477">
        <v>757130.22</v>
      </c>
      <c r="X40" s="477"/>
      <c r="Y40" s="461">
        <v>1080014.8599999999</v>
      </c>
      <c r="Z40" s="477"/>
      <c r="AA40" s="477">
        <v>1067351.32</v>
      </c>
      <c r="AB40" s="477">
        <f>+AJ52</f>
        <v>0</v>
      </c>
      <c r="AC40" s="476">
        <f t="shared" si="5"/>
        <v>2347674.0790000022</v>
      </c>
      <c r="AD40" s="601"/>
      <c r="AE40" s="476">
        <f t="shared" si="6"/>
        <v>2494699.1390000028</v>
      </c>
      <c r="AF40" s="476">
        <f t="shared" si="7"/>
        <v>11330459.890000001</v>
      </c>
      <c r="AG40" s="537">
        <f t="shared" si="8"/>
        <v>11477484.950000001</v>
      </c>
      <c r="AH40" s="474">
        <f t="shared" si="4"/>
        <v>2347674.0790000018</v>
      </c>
      <c r="AI40" s="591"/>
    </row>
    <row r="41" spans="1:37" s="538" customFormat="1" x14ac:dyDescent="0.45">
      <c r="A41" s="689" t="s">
        <v>71</v>
      </c>
      <c r="B41" s="474">
        <v>560773.45999999961</v>
      </c>
      <c r="C41" s="475"/>
      <c r="D41" s="474"/>
      <c r="E41" s="481">
        <v>82439.05</v>
      </c>
      <c r="F41" s="481">
        <f>77158.89+82439.05</f>
        <v>159597.94</v>
      </c>
      <c r="G41" s="539">
        <v>76554.78</v>
      </c>
      <c r="H41" s="481"/>
      <c r="I41" s="481">
        <v>83243.570000000007</v>
      </c>
      <c r="J41" s="481">
        <f>159798.35</f>
        <v>159798.35</v>
      </c>
      <c r="K41" s="482">
        <v>82471.88</v>
      </c>
      <c r="L41" s="482"/>
      <c r="M41" s="482">
        <v>75798.64</v>
      </c>
      <c r="N41" s="482">
        <v>158270.52000000002</v>
      </c>
      <c r="O41" s="476">
        <v>78174.709999999992</v>
      </c>
      <c r="P41" s="477">
        <f>78174.71</f>
        <v>78174.710000000006</v>
      </c>
      <c r="Q41" s="477">
        <v>98515.36</v>
      </c>
      <c r="R41" s="477"/>
      <c r="S41" s="477">
        <v>88424.320000000007</v>
      </c>
      <c r="T41" s="477"/>
      <c r="U41" s="477">
        <v>85276.66</v>
      </c>
      <c r="V41" s="477">
        <f>272216.34</f>
        <v>272216.34000000003</v>
      </c>
      <c r="W41" s="477">
        <v>-6838.2899999999972</v>
      </c>
      <c r="X41" s="477"/>
      <c r="Y41" s="477">
        <v>68188.67</v>
      </c>
      <c r="Z41" s="477"/>
      <c r="AA41" s="477">
        <v>73568.84</v>
      </c>
      <c r="AB41" s="477"/>
      <c r="AC41" s="476">
        <f t="shared" si="5"/>
        <v>618533.7899999998</v>
      </c>
      <c r="AD41" s="601"/>
      <c r="AE41" s="476">
        <f t="shared" si="6"/>
        <v>560773.45999999961</v>
      </c>
      <c r="AF41" s="476">
        <f t="shared" si="7"/>
        <v>885818.19000000006</v>
      </c>
      <c r="AG41" s="537">
        <f t="shared" si="8"/>
        <v>828057.8600000001</v>
      </c>
      <c r="AH41" s="474">
        <f t="shared" si="4"/>
        <v>618533.78999999957</v>
      </c>
      <c r="AI41" s="591"/>
    </row>
    <row r="42" spans="1:37" s="538" customFormat="1" x14ac:dyDescent="0.45">
      <c r="A42" s="689" t="s">
        <v>88</v>
      </c>
      <c r="B42" s="474">
        <v>7698</v>
      </c>
      <c r="C42" s="475"/>
      <c r="D42" s="474"/>
      <c r="E42" s="481">
        <v>0</v>
      </c>
      <c r="F42" s="481"/>
      <c r="G42" s="539">
        <v>0</v>
      </c>
      <c r="H42" s="481"/>
      <c r="I42" s="481">
        <v>0</v>
      </c>
      <c r="J42" s="481"/>
      <c r="K42" s="482">
        <v>0</v>
      </c>
      <c r="L42" s="482"/>
      <c r="M42" s="482">
        <v>0</v>
      </c>
      <c r="N42" s="482"/>
      <c r="O42" s="476"/>
      <c r="P42" s="477"/>
      <c r="Q42" s="477">
        <v>0</v>
      </c>
      <c r="R42" s="477"/>
      <c r="S42" s="477">
        <v>0</v>
      </c>
      <c r="T42" s="477"/>
      <c r="U42" s="477"/>
      <c r="V42" s="477"/>
      <c r="W42" s="477">
        <v>0</v>
      </c>
      <c r="X42" s="477"/>
      <c r="Y42" s="477"/>
      <c r="Z42" s="477"/>
      <c r="AA42" s="477">
        <v>0</v>
      </c>
      <c r="AB42" s="477"/>
      <c r="AC42" s="476">
        <f t="shared" si="5"/>
        <v>7698</v>
      </c>
      <c r="AD42" s="601"/>
      <c r="AE42" s="476">
        <f t="shared" si="6"/>
        <v>7698</v>
      </c>
      <c r="AF42" s="476">
        <f t="shared" si="7"/>
        <v>0</v>
      </c>
      <c r="AG42" s="537">
        <f t="shared" si="8"/>
        <v>0</v>
      </c>
      <c r="AH42" s="474">
        <f t="shared" si="4"/>
        <v>7698</v>
      </c>
      <c r="AI42" s="591"/>
    </row>
    <row r="43" spans="1:37" s="538" customFormat="1" x14ac:dyDescent="0.45">
      <c r="A43" s="689" t="s">
        <v>336</v>
      </c>
      <c r="B43" s="474">
        <v>39194.910000000003</v>
      </c>
      <c r="C43" s="475"/>
      <c r="D43" s="474"/>
      <c r="E43" s="481">
        <v>11321.62</v>
      </c>
      <c r="F43" s="481"/>
      <c r="G43" s="539">
        <v>22019.17</v>
      </c>
      <c r="H43" s="481">
        <v>67265.2</v>
      </c>
      <c r="I43" s="481">
        <v>21977.61</v>
      </c>
      <c r="J43" s="481">
        <v>21977.61</v>
      </c>
      <c r="K43" s="482">
        <v>14419.1</v>
      </c>
      <c r="L43" s="482"/>
      <c r="M43" s="482">
        <v>3777597.64</v>
      </c>
      <c r="N43" s="482">
        <v>14419.1</v>
      </c>
      <c r="O43" s="476">
        <v>10540.59</v>
      </c>
      <c r="P43" s="477">
        <v>35456.050000000003</v>
      </c>
      <c r="Q43" s="477">
        <v>-3724021.12</v>
      </c>
      <c r="R43" s="477">
        <f>18120.47+10540.59</f>
        <v>28661.06</v>
      </c>
      <c r="S43" s="477">
        <v>26060.59</v>
      </c>
      <c r="T43" s="477"/>
      <c r="U43" s="477">
        <v>3753.7</v>
      </c>
      <c r="V43" s="477">
        <f>3753.7+26060.59</f>
        <v>29814.29</v>
      </c>
      <c r="W43" s="477">
        <v>2393645.12</v>
      </c>
      <c r="X43" s="477">
        <v>8596.2199999999993</v>
      </c>
      <c r="Y43" s="477">
        <v>-2372166.8899999997</v>
      </c>
      <c r="Z43" s="477">
        <f>12882.01</f>
        <v>12882.01</v>
      </c>
      <c r="AA43" s="477">
        <v>8413.41</v>
      </c>
      <c r="AB43" s="477"/>
      <c r="AC43" s="476">
        <f t="shared" si="5"/>
        <v>13683.910000000242</v>
      </c>
      <c r="AD43" s="601"/>
      <c r="AE43" s="476">
        <f t="shared" si="6"/>
        <v>39194.910000000003</v>
      </c>
      <c r="AF43" s="476">
        <f t="shared" si="7"/>
        <v>193560.54000000036</v>
      </c>
      <c r="AG43" s="537">
        <f t="shared" si="8"/>
        <v>219071.54000000004</v>
      </c>
      <c r="AH43" s="474">
        <f t="shared" si="4"/>
        <v>13683.910000000324</v>
      </c>
      <c r="AI43" s="591"/>
    </row>
    <row r="44" spans="1:37" s="538" customFormat="1" x14ac:dyDescent="0.45">
      <c r="A44" s="689" t="s">
        <v>50</v>
      </c>
      <c r="B44" s="474">
        <v>491281.98000000004</v>
      </c>
      <c r="C44" s="475"/>
      <c r="D44" s="474"/>
      <c r="E44" s="481">
        <v>237226.06</v>
      </c>
      <c r="F44" s="481">
        <f>4642.5+270207.94+48442.56+188783.5</f>
        <v>512076.5</v>
      </c>
      <c r="G44" s="539">
        <v>223118.69</v>
      </c>
      <c r="H44" s="481"/>
      <c r="I44" s="481">
        <v>240855.2</v>
      </c>
      <c r="J44" s="481">
        <f>221314.69+1804</f>
        <v>223118.69</v>
      </c>
      <c r="K44" s="482">
        <v>237333.94</v>
      </c>
      <c r="L44" s="482">
        <f>1838+6332.5+50701.7+183821</f>
        <v>242693.2</v>
      </c>
      <c r="M44" s="482">
        <v>231675.86</v>
      </c>
      <c r="N44" s="482">
        <v>45287.86</v>
      </c>
      <c r="O44" s="476">
        <v>242649.82</v>
      </c>
      <c r="P44" s="477">
        <f>183821+2567</f>
        <v>186388</v>
      </c>
      <c r="Q44" s="477">
        <v>241558.88</v>
      </c>
      <c r="R44" s="477">
        <v>430859.82</v>
      </c>
      <c r="S44" s="477">
        <v>234889.52</v>
      </c>
      <c r="T44" s="477">
        <v>53348.88</v>
      </c>
      <c r="U44" s="477">
        <v>214279.9</v>
      </c>
      <c r="V44" s="477"/>
      <c r="W44" s="477">
        <v>205096.23</v>
      </c>
      <c r="X44" s="477">
        <v>470444.65</v>
      </c>
      <c r="Y44" s="477">
        <v>239865.89</v>
      </c>
      <c r="Z44" s="477">
        <f>183821+4996+234869.89</f>
        <v>423686.89</v>
      </c>
      <c r="AA44" s="477">
        <v>225945.73</v>
      </c>
      <c r="AB44" s="477"/>
      <c r="AC44" s="476">
        <f t="shared" si="5"/>
        <v>677873.21000000008</v>
      </c>
      <c r="AD44" s="601"/>
      <c r="AE44" s="476">
        <f t="shared" si="6"/>
        <v>491281.98000000004</v>
      </c>
      <c r="AF44" s="476">
        <f t="shared" si="7"/>
        <v>2774495.72</v>
      </c>
      <c r="AG44" s="537">
        <f t="shared" si="8"/>
        <v>2587904.4900000002</v>
      </c>
      <c r="AH44" s="474">
        <f t="shared" si="4"/>
        <v>677873.21</v>
      </c>
      <c r="AI44" s="591"/>
    </row>
    <row r="45" spans="1:37" s="538" customFormat="1" x14ac:dyDescent="0.45">
      <c r="A45" s="689" t="s">
        <v>417</v>
      </c>
      <c r="B45" s="474">
        <v>45284.810000000172</v>
      </c>
      <c r="C45" s="475"/>
      <c r="D45" s="474"/>
      <c r="E45" s="481">
        <v>86428.3</v>
      </c>
      <c r="F45" s="481">
        <f>85808.83</f>
        <v>85808.83</v>
      </c>
      <c r="G45" s="539">
        <v>83491.17</v>
      </c>
      <c r="H45" s="481">
        <v>83491.17</v>
      </c>
      <c r="I45" s="481">
        <v>82761.7</v>
      </c>
      <c r="J45" s="481">
        <v>82761.7</v>
      </c>
      <c r="K45" s="482">
        <v>79446.47</v>
      </c>
      <c r="L45" s="482">
        <f>20936.01+21703.01+36807.45</f>
        <v>79446.47</v>
      </c>
      <c r="M45" s="482">
        <v>80272.67</v>
      </c>
      <c r="N45" s="482">
        <v>80272.67</v>
      </c>
      <c r="O45" s="476">
        <v>74793.100000000006</v>
      </c>
      <c r="P45" s="477">
        <f>60695.17+14097.93</f>
        <v>74793.100000000006</v>
      </c>
      <c r="Q45" s="477">
        <v>77506.789999999994</v>
      </c>
      <c r="R45" s="477">
        <v>77506.789999999994</v>
      </c>
      <c r="S45" s="477">
        <v>79232.09</v>
      </c>
      <c r="T45" s="477">
        <f>15441.05</f>
        <v>15441.05</v>
      </c>
      <c r="U45" s="477">
        <v>75008.33</v>
      </c>
      <c r="V45" s="477"/>
      <c r="W45" s="477">
        <v>73186.259999999995</v>
      </c>
      <c r="X45" s="477">
        <f>56706.38+54279.03+8537.73+34717.28+15428+25039.58+12639.52+20079.16</f>
        <v>227426.68</v>
      </c>
      <c r="Y45" s="477">
        <v>72383.100000000006</v>
      </c>
      <c r="Z45" s="477">
        <f>51401.1+20982+2486.42</f>
        <v>74869.52</v>
      </c>
      <c r="AA45" s="477">
        <v>75255.13</v>
      </c>
      <c r="AB45" s="477"/>
      <c r="AC45" s="476">
        <f t="shared" si="5"/>
        <v>103231.94000000016</v>
      </c>
      <c r="AD45" s="601"/>
      <c r="AE45" s="476">
        <f t="shared" si="6"/>
        <v>45284.810000000172</v>
      </c>
      <c r="AF45" s="476">
        <f t="shared" si="7"/>
        <v>939765.11</v>
      </c>
      <c r="AG45" s="537">
        <f t="shared" si="8"/>
        <v>881817.98000000021</v>
      </c>
      <c r="AH45" s="474">
        <f t="shared" si="4"/>
        <v>103231.93999999994</v>
      </c>
      <c r="AI45" s="591"/>
    </row>
    <row r="46" spans="1:37" s="538" customFormat="1" x14ac:dyDescent="0.45">
      <c r="A46" s="689" t="s">
        <v>46</v>
      </c>
      <c r="B46" s="474">
        <v>75619.529999999853</v>
      </c>
      <c r="C46" s="475"/>
      <c r="D46" s="474"/>
      <c r="E46" s="481">
        <v>85351.81</v>
      </c>
      <c r="F46" s="481">
        <v>119317.69</v>
      </c>
      <c r="G46" s="539">
        <v>102184.3</v>
      </c>
      <c r="H46" s="481">
        <f>102184.3</f>
        <v>102184.3</v>
      </c>
      <c r="I46" s="481">
        <v>88557.069999999992</v>
      </c>
      <c r="J46" s="481">
        <v>88557.07</v>
      </c>
      <c r="K46" s="482">
        <v>78895.53</v>
      </c>
      <c r="L46" s="482"/>
      <c r="M46" s="482">
        <v>77872.36</v>
      </c>
      <c r="N46" s="482">
        <v>156767.89000000001</v>
      </c>
      <c r="O46" s="476">
        <v>76278.179999999993</v>
      </c>
      <c r="P46" s="477">
        <f>76278.18</f>
        <v>76278.179999999993</v>
      </c>
      <c r="Q46" s="477">
        <v>67100.259999999995</v>
      </c>
      <c r="R46" s="477">
        <f>67100.27</f>
        <v>67100.27</v>
      </c>
      <c r="S46" s="477">
        <v>118169.9</v>
      </c>
      <c r="T46" s="477"/>
      <c r="U46" s="477">
        <v>68359.81</v>
      </c>
      <c r="V46" s="477">
        <f>118169.9+68359.81</f>
        <v>186529.71</v>
      </c>
      <c r="W46" s="477">
        <v>69390.720000000001</v>
      </c>
      <c r="X46" s="477">
        <v>69390.720000000001</v>
      </c>
      <c r="Y46" s="477">
        <v>86123.71</v>
      </c>
      <c r="Z46" s="477">
        <f>86123.71</f>
        <v>86123.71</v>
      </c>
      <c r="AA46" s="477">
        <v>470361.93</v>
      </c>
      <c r="AB46" s="477"/>
      <c r="AC46" s="476">
        <f t="shared" si="5"/>
        <v>512015.56999999977</v>
      </c>
      <c r="AD46" s="601"/>
      <c r="AE46" s="476">
        <f t="shared" si="6"/>
        <v>75619.529999999853</v>
      </c>
      <c r="AF46" s="476">
        <f t="shared" si="7"/>
        <v>1388645.5799999998</v>
      </c>
      <c r="AG46" s="537">
        <f t="shared" si="8"/>
        <v>952249.53999999992</v>
      </c>
      <c r="AH46" s="474">
        <f t="shared" si="4"/>
        <v>512015.56999999972</v>
      </c>
      <c r="AI46" s="591"/>
    </row>
    <row r="47" spans="1:37" s="538" customFormat="1" x14ac:dyDescent="0.45">
      <c r="A47" s="689" t="s">
        <v>59</v>
      </c>
      <c r="B47" s="474">
        <v>117630.06999999998</v>
      </c>
      <c r="C47" s="475"/>
      <c r="D47" s="474"/>
      <c r="E47" s="481">
        <v>11724.68</v>
      </c>
      <c r="F47" s="481">
        <v>20970.37</v>
      </c>
      <c r="G47" s="539">
        <v>8623.2000000000007</v>
      </c>
      <c r="H47" s="481">
        <v>8623.2000000000007</v>
      </c>
      <c r="I47" s="481">
        <v>12901.45</v>
      </c>
      <c r="J47" s="481">
        <v>12901.45</v>
      </c>
      <c r="K47" s="482">
        <v>10728.94</v>
      </c>
      <c r="L47" s="482">
        <v>10728.94</v>
      </c>
      <c r="M47" s="482">
        <v>9850.380000000001</v>
      </c>
      <c r="N47" s="482">
        <v>9850.3799999999992</v>
      </c>
      <c r="O47" s="476">
        <v>8660.73</v>
      </c>
      <c r="P47" s="477">
        <f>8660.73</f>
        <v>8660.73</v>
      </c>
      <c r="Q47" s="477">
        <v>8714.25</v>
      </c>
      <c r="R47" s="477">
        <v>8714.25</v>
      </c>
      <c r="S47" s="477">
        <v>10429.06</v>
      </c>
      <c r="T47" s="477">
        <f>10429.06</f>
        <v>10429.06</v>
      </c>
      <c r="U47" s="477">
        <v>10087.35</v>
      </c>
      <c r="V47" s="477">
        <f>10087.35</f>
        <v>10087.35</v>
      </c>
      <c r="W47" s="477">
        <v>7947</v>
      </c>
      <c r="X47" s="477">
        <v>7947</v>
      </c>
      <c r="Y47" s="477">
        <v>8654.92</v>
      </c>
      <c r="Z47" s="477">
        <v>8654.92</v>
      </c>
      <c r="AA47" s="477">
        <v>9897.93</v>
      </c>
      <c r="AB47" s="477"/>
      <c r="AC47" s="476">
        <f t="shared" si="5"/>
        <v>118282.30999999997</v>
      </c>
      <c r="AD47" s="601"/>
      <c r="AE47" s="476">
        <f t="shared" si="6"/>
        <v>117630.06999999998</v>
      </c>
      <c r="AF47" s="476">
        <f t="shared" si="7"/>
        <v>118219.89000000001</v>
      </c>
      <c r="AG47" s="537">
        <f t="shared" si="8"/>
        <v>117567.65000000001</v>
      </c>
      <c r="AH47" s="474">
        <f t="shared" si="4"/>
        <v>118282.30999999998</v>
      </c>
      <c r="AI47" s="591"/>
      <c r="AK47" s="579"/>
    </row>
    <row r="48" spans="1:37" s="538" customFormat="1" x14ac:dyDescent="0.45">
      <c r="A48" s="689" t="s">
        <v>365</v>
      </c>
      <c r="B48" s="474">
        <v>54452.000000000087</v>
      </c>
      <c r="C48" s="475"/>
      <c r="D48" s="474"/>
      <c r="E48" s="481">
        <v>183712.94000000003</v>
      </c>
      <c r="F48" s="481"/>
      <c r="G48" s="539">
        <v>239865.65</v>
      </c>
      <c r="H48" s="481">
        <v>183712.94</v>
      </c>
      <c r="I48" s="481">
        <v>295636.91000000003</v>
      </c>
      <c r="J48" s="481">
        <f>289410.65+295636.91</f>
        <v>585047.56000000006</v>
      </c>
      <c r="K48" s="482">
        <v>316576.17</v>
      </c>
      <c r="L48" s="482">
        <f>316576.17</f>
        <v>316576.17</v>
      </c>
      <c r="M48" s="482">
        <v>324211.07</v>
      </c>
      <c r="N48" s="482">
        <v>324211.07</v>
      </c>
      <c r="O48" s="476">
        <v>328736.77</v>
      </c>
      <c r="P48" s="477">
        <v>328736.77</v>
      </c>
      <c r="Q48" s="477">
        <v>317409.39</v>
      </c>
      <c r="R48" s="477">
        <v>317409.39</v>
      </c>
      <c r="S48" s="477">
        <v>331049.8</v>
      </c>
      <c r="T48" s="477">
        <f>331049.8</f>
        <v>331049.8</v>
      </c>
      <c r="U48" s="477">
        <v>313990.94</v>
      </c>
      <c r="V48" s="477"/>
      <c r="W48" s="477">
        <v>303606.34000000003</v>
      </c>
      <c r="X48" s="477">
        <v>617597.28</v>
      </c>
      <c r="Y48" s="477">
        <v>306724.96999999997</v>
      </c>
      <c r="Z48" s="461">
        <v>306724.96999999997</v>
      </c>
      <c r="AA48" s="477">
        <v>301719.84999999998</v>
      </c>
      <c r="AB48" s="477"/>
      <c r="AC48" s="476">
        <f t="shared" si="5"/>
        <v>306626.84999999998</v>
      </c>
      <c r="AD48" s="601"/>
      <c r="AE48" s="476">
        <f t="shared" si="6"/>
        <v>54452.000000000087</v>
      </c>
      <c r="AF48" s="476">
        <f t="shared" si="7"/>
        <v>3563240.7999999993</v>
      </c>
      <c r="AG48" s="537">
        <f t="shared" si="8"/>
        <v>3311065.9499999993</v>
      </c>
      <c r="AH48" s="474">
        <f t="shared" si="4"/>
        <v>306626.85000000009</v>
      </c>
      <c r="AI48" s="591"/>
    </row>
    <row r="49" spans="1:35" s="538" customFormat="1" x14ac:dyDescent="0.45">
      <c r="A49" s="689" t="s">
        <v>75</v>
      </c>
      <c r="B49" s="474">
        <v>1886990.2300000023</v>
      </c>
      <c r="C49" s="475"/>
      <c r="D49" s="474">
        <f>206209.54+508093.65</f>
        <v>714303.19000000006</v>
      </c>
      <c r="E49" s="481">
        <v>358881.53</v>
      </c>
      <c r="F49" s="481">
        <f>137149.18+741930.61+358881.53</f>
        <v>1237961.32</v>
      </c>
      <c r="G49" s="539">
        <v>320466.57</v>
      </c>
      <c r="H49" s="481">
        <v>320466.57</v>
      </c>
      <c r="I49" s="481">
        <v>274085.28000000003</v>
      </c>
      <c r="J49" s="481"/>
      <c r="K49" s="482">
        <v>380647.08999999997</v>
      </c>
      <c r="L49" s="482">
        <f>274085.28+380647.09</f>
        <v>654732.37000000011</v>
      </c>
      <c r="M49" s="482">
        <v>360614.43</v>
      </c>
      <c r="N49" s="482"/>
      <c r="O49" s="476">
        <v>416731.4</v>
      </c>
      <c r="P49" s="477"/>
      <c r="Q49" s="477">
        <v>391472.49</v>
      </c>
      <c r="R49" s="477">
        <f>752086.92+416731.4</f>
        <v>1168818.32</v>
      </c>
      <c r="S49" s="477">
        <v>390600.77</v>
      </c>
      <c r="T49" s="477"/>
      <c r="U49" s="477">
        <v>324731.48</v>
      </c>
      <c r="V49" s="477"/>
      <c r="W49" s="477">
        <v>-61402.299999999988</v>
      </c>
      <c r="X49" s="477">
        <v>715332.25</v>
      </c>
      <c r="Y49" s="477">
        <v>362832.65</v>
      </c>
      <c r="Z49" s="477"/>
      <c r="AA49" s="477">
        <v>252692.48000000001</v>
      </c>
      <c r="AB49" s="477"/>
      <c r="AC49" s="476">
        <f t="shared" si="5"/>
        <v>847730.08000000229</v>
      </c>
      <c r="AD49" s="601"/>
      <c r="AE49" s="476">
        <f t="shared" si="6"/>
        <v>1886990.2300000023</v>
      </c>
      <c r="AF49" s="476">
        <f t="shared" si="7"/>
        <v>3772353.87</v>
      </c>
      <c r="AG49" s="537">
        <f t="shared" si="8"/>
        <v>4811614.0200000005</v>
      </c>
      <c r="AH49" s="474">
        <f t="shared" si="4"/>
        <v>847730.08000000194</v>
      </c>
      <c r="AI49" s="591"/>
    </row>
    <row r="50" spans="1:35" s="538" customFormat="1" x14ac:dyDescent="0.45">
      <c r="A50" s="689" t="s">
        <v>84</v>
      </c>
      <c r="B50" s="474">
        <v>-5959.0299999996205</v>
      </c>
      <c r="C50" s="475"/>
      <c r="D50" s="474"/>
      <c r="E50" s="481">
        <v>0</v>
      </c>
      <c r="F50" s="481"/>
      <c r="G50" s="539">
        <v>0</v>
      </c>
      <c r="H50" s="481"/>
      <c r="I50" s="481">
        <v>0</v>
      </c>
      <c r="J50" s="481"/>
      <c r="K50" s="482">
        <v>0</v>
      </c>
      <c r="L50" s="482"/>
      <c r="M50" s="482">
        <v>0</v>
      </c>
      <c r="N50" s="482"/>
      <c r="O50" s="476"/>
      <c r="P50" s="477"/>
      <c r="Q50" s="477">
        <v>0</v>
      </c>
      <c r="R50" s="477"/>
      <c r="S50" s="477">
        <v>0</v>
      </c>
      <c r="T50" s="477"/>
      <c r="U50" s="477"/>
      <c r="V50" s="477"/>
      <c r="W50" s="477">
        <v>0</v>
      </c>
      <c r="X50" s="477"/>
      <c r="Y50" s="477"/>
      <c r="Z50" s="477"/>
      <c r="AA50" s="477">
        <v>0</v>
      </c>
      <c r="AB50" s="477"/>
      <c r="AC50" s="476">
        <f t="shared" si="5"/>
        <v>-5959.0299999996205</v>
      </c>
      <c r="AD50" s="601"/>
      <c r="AE50" s="476">
        <f t="shared" si="6"/>
        <v>-5959.0299999996205</v>
      </c>
      <c r="AF50" s="476">
        <f t="shared" si="7"/>
        <v>0</v>
      </c>
      <c r="AG50" s="537">
        <f t="shared" si="8"/>
        <v>0</v>
      </c>
      <c r="AH50" s="474">
        <f t="shared" si="4"/>
        <v>-5959.0299999996205</v>
      </c>
      <c r="AI50" s="591"/>
    </row>
    <row r="51" spans="1:35" s="538" customFormat="1" x14ac:dyDescent="0.45">
      <c r="A51" s="689" t="s">
        <v>68</v>
      </c>
      <c r="B51" s="474">
        <v>253345.61999999959</v>
      </c>
      <c r="C51" s="475"/>
      <c r="D51" s="474"/>
      <c r="E51" s="481">
        <v>316939.2</v>
      </c>
      <c r="F51" s="481">
        <f>276383.43+316939.2</f>
        <v>593322.63</v>
      </c>
      <c r="G51" s="539">
        <v>249279.44</v>
      </c>
      <c r="H51" s="481">
        <f>249279.44</f>
        <v>249279.44</v>
      </c>
      <c r="I51" s="481">
        <v>260660</v>
      </c>
      <c r="J51" s="481">
        <f>260660</f>
        <v>260660</v>
      </c>
      <c r="K51" s="482">
        <v>236215.04000000001</v>
      </c>
      <c r="L51" s="482">
        <f>236215.04</f>
        <v>236215.04000000001</v>
      </c>
      <c r="M51" s="482">
        <v>241294.24</v>
      </c>
      <c r="N51" s="482">
        <v>241294.24</v>
      </c>
      <c r="O51" s="476">
        <v>239235.83000000002</v>
      </c>
      <c r="P51" s="477">
        <v>239235.83</v>
      </c>
      <c r="Q51" s="477">
        <v>270183.27</v>
      </c>
      <c r="R51" s="477">
        <v>270183.27</v>
      </c>
      <c r="S51" s="477">
        <v>265951.78999999998</v>
      </c>
      <c r="T51" s="477">
        <f>243485.1</f>
        <v>243485.1</v>
      </c>
      <c r="U51" s="575">
        <v>221836.85</v>
      </c>
      <c r="V51" s="477">
        <v>221836.85</v>
      </c>
      <c r="W51" s="477">
        <v>202361.75</v>
      </c>
      <c r="X51" s="477">
        <v>202361.75</v>
      </c>
      <c r="Y51" s="477">
        <v>203648.5</v>
      </c>
      <c r="Z51" s="461">
        <v>203648.5</v>
      </c>
      <c r="AA51" s="477">
        <v>220801.73</v>
      </c>
      <c r="AB51" s="477"/>
      <c r="AC51" s="476">
        <f t="shared" si="5"/>
        <v>220230.60999999961</v>
      </c>
      <c r="AD51" s="601"/>
      <c r="AE51" s="476">
        <f t="shared" si="6"/>
        <v>253345.61999999959</v>
      </c>
      <c r="AF51" s="476">
        <f t="shared" si="7"/>
        <v>2928407.64</v>
      </c>
      <c r="AG51" s="537">
        <f t="shared" si="8"/>
        <v>2961522.6500000004</v>
      </c>
      <c r="AH51" s="474">
        <f t="shared" si="4"/>
        <v>220230.6099999994</v>
      </c>
      <c r="AI51" s="591"/>
    </row>
    <row r="52" spans="1:35" s="538" customFormat="1" x14ac:dyDescent="0.45">
      <c r="A52" s="689" t="s">
        <v>51</v>
      </c>
      <c r="B52" s="474">
        <v>575870.71000000043</v>
      </c>
      <c r="C52" s="475"/>
      <c r="D52" s="474"/>
      <c r="E52" s="481">
        <v>0</v>
      </c>
      <c r="F52" s="481"/>
      <c r="G52" s="539">
        <v>0</v>
      </c>
      <c r="H52" s="481"/>
      <c r="I52" s="481">
        <v>0</v>
      </c>
      <c r="J52" s="481"/>
      <c r="K52" s="482">
        <v>0</v>
      </c>
      <c r="L52" s="482"/>
      <c r="M52" s="482">
        <v>0</v>
      </c>
      <c r="N52" s="482"/>
      <c r="O52" s="476"/>
      <c r="P52" s="477"/>
      <c r="Q52" s="477">
        <v>0</v>
      </c>
      <c r="R52" s="477"/>
      <c r="S52" s="477">
        <v>0</v>
      </c>
      <c r="T52" s="477"/>
      <c r="U52" s="477"/>
      <c r="V52" s="477"/>
      <c r="W52" s="477">
        <v>0</v>
      </c>
      <c r="X52" s="477"/>
      <c r="Y52" s="477"/>
      <c r="Z52" s="477"/>
      <c r="AA52" s="477">
        <v>0</v>
      </c>
      <c r="AB52" s="477"/>
      <c r="AC52" s="476">
        <f t="shared" si="5"/>
        <v>575870.71000000043</v>
      </c>
      <c r="AD52" s="601"/>
      <c r="AE52" s="476">
        <f t="shared" si="6"/>
        <v>575870.71000000043</v>
      </c>
      <c r="AF52" s="476">
        <f t="shared" si="7"/>
        <v>0</v>
      </c>
      <c r="AG52" s="537">
        <f t="shared" si="8"/>
        <v>0</v>
      </c>
      <c r="AH52" s="474">
        <f t="shared" si="4"/>
        <v>575870.71000000043</v>
      </c>
      <c r="AI52" s="591"/>
    </row>
    <row r="53" spans="1:35" s="538" customFormat="1" x14ac:dyDescent="0.45">
      <c r="A53" s="689" t="s">
        <v>366</v>
      </c>
      <c r="B53" s="474">
        <v>423152.25999999989</v>
      </c>
      <c r="C53" s="475"/>
      <c r="D53" s="474"/>
      <c r="E53" s="481">
        <v>225209.55</v>
      </c>
      <c r="F53" s="481">
        <f>661658.81</f>
        <v>661658.81000000006</v>
      </c>
      <c r="G53" s="539">
        <v>236059.34</v>
      </c>
      <c r="H53" s="481"/>
      <c r="I53" s="481">
        <v>247017.22</v>
      </c>
      <c r="J53" s="481">
        <f>236059.34</f>
        <v>236059.34</v>
      </c>
      <c r="K53" s="482">
        <v>257863.78</v>
      </c>
      <c r="L53" s="482">
        <f>247017.22+257863.78</f>
        <v>504881</v>
      </c>
      <c r="M53" s="482">
        <v>237895.29</v>
      </c>
      <c r="N53" s="482"/>
      <c r="O53" s="476">
        <v>245509.13</v>
      </c>
      <c r="P53" s="477">
        <v>245509.13</v>
      </c>
      <c r="Q53" s="477">
        <v>276660.68</v>
      </c>
      <c r="R53" s="477">
        <v>276660.68</v>
      </c>
      <c r="S53" s="477">
        <v>274985.92</v>
      </c>
      <c r="T53" s="477">
        <v>512881.21</v>
      </c>
      <c r="U53" s="575">
        <v>244292.76</v>
      </c>
      <c r="V53" s="477">
        <v>262592.76</v>
      </c>
      <c r="W53" s="477">
        <v>225633.44</v>
      </c>
      <c r="X53" s="477">
        <f>215474.86+225633.44</f>
        <v>441108.3</v>
      </c>
      <c r="Y53" s="477">
        <v>240830.3</v>
      </c>
      <c r="Z53" s="477">
        <v>441131.3</v>
      </c>
      <c r="AA53" s="477">
        <v>431259.33</v>
      </c>
      <c r="AB53" s="477"/>
      <c r="AC53" s="476">
        <f t="shared" si="5"/>
        <v>-16113.530000000203</v>
      </c>
      <c r="AD53" s="601"/>
      <c r="AE53" s="476">
        <f t="shared" si="6"/>
        <v>423152.25999999989</v>
      </c>
      <c r="AF53" s="476">
        <f t="shared" si="7"/>
        <v>3143216.7399999998</v>
      </c>
      <c r="AG53" s="537">
        <f t="shared" si="8"/>
        <v>3582482.5299999993</v>
      </c>
      <c r="AH53" s="474">
        <f t="shared" si="4"/>
        <v>-16113.529999999795</v>
      </c>
      <c r="AI53" s="591"/>
    </row>
    <row r="54" spans="1:35" s="538" customFormat="1" x14ac:dyDescent="0.45">
      <c r="A54" s="689" t="s">
        <v>77</v>
      </c>
      <c r="B54" s="474">
        <v>-35689.800000000032</v>
      </c>
      <c r="C54" s="475"/>
      <c r="D54" s="474"/>
      <c r="E54" s="481">
        <v>0</v>
      </c>
      <c r="F54" s="481"/>
      <c r="G54" s="539">
        <v>0</v>
      </c>
      <c r="H54" s="481"/>
      <c r="I54" s="481">
        <v>0</v>
      </c>
      <c r="J54" s="481"/>
      <c r="K54" s="482">
        <v>0</v>
      </c>
      <c r="L54" s="482"/>
      <c r="M54" s="482">
        <v>0</v>
      </c>
      <c r="N54" s="482"/>
      <c r="O54" s="476"/>
      <c r="P54" s="477"/>
      <c r="Q54" s="477">
        <v>0</v>
      </c>
      <c r="R54" s="477"/>
      <c r="S54" s="477">
        <v>0</v>
      </c>
      <c r="T54" s="477"/>
      <c r="U54" s="477"/>
      <c r="V54" s="477"/>
      <c r="W54" s="477">
        <v>0</v>
      </c>
      <c r="X54" s="477"/>
      <c r="Y54" s="477"/>
      <c r="Z54" s="477"/>
      <c r="AA54" s="477">
        <v>0</v>
      </c>
      <c r="AB54" s="477"/>
      <c r="AC54" s="476">
        <f t="shared" si="5"/>
        <v>-35689.800000000032</v>
      </c>
      <c r="AD54" s="601"/>
      <c r="AE54" s="476">
        <f t="shared" si="6"/>
        <v>-35689.800000000032</v>
      </c>
      <c r="AF54" s="476">
        <f t="shared" si="7"/>
        <v>0</v>
      </c>
      <c r="AG54" s="537">
        <f t="shared" si="8"/>
        <v>0</v>
      </c>
      <c r="AH54" s="474">
        <f t="shared" si="4"/>
        <v>-35689.800000000032</v>
      </c>
      <c r="AI54" s="591"/>
    </row>
    <row r="55" spans="1:35" s="538" customFormat="1" x14ac:dyDescent="0.45">
      <c r="A55" s="689" t="s">
        <v>56</v>
      </c>
      <c r="B55" s="474">
        <v>36439.999999999767</v>
      </c>
      <c r="C55" s="475"/>
      <c r="D55" s="474"/>
      <c r="E55" s="481">
        <v>36440</v>
      </c>
      <c r="F55" s="481"/>
      <c r="G55" s="539">
        <v>36440</v>
      </c>
      <c r="H55" s="481"/>
      <c r="I55" s="481">
        <v>36440</v>
      </c>
      <c r="J55" s="481"/>
      <c r="K55" s="482">
        <v>36440</v>
      </c>
      <c r="L55" s="482"/>
      <c r="M55" s="482">
        <v>36440</v>
      </c>
      <c r="N55" s="482"/>
      <c r="O55" s="476">
        <v>36440</v>
      </c>
      <c r="P55" s="477"/>
      <c r="Q55" s="477">
        <v>36440</v>
      </c>
      <c r="R55" s="477"/>
      <c r="S55" s="477">
        <v>36440</v>
      </c>
      <c r="T55" s="477"/>
      <c r="U55" s="477">
        <v>36440</v>
      </c>
      <c r="V55" s="477"/>
      <c r="W55" s="477">
        <v>36440</v>
      </c>
      <c r="X55" s="477"/>
      <c r="Y55" s="477">
        <v>36440</v>
      </c>
      <c r="Z55" s="477"/>
      <c r="AA55" s="477">
        <v>36440</v>
      </c>
      <c r="AB55" s="477"/>
      <c r="AC55" s="476">
        <f t="shared" si="5"/>
        <v>473719.99999999977</v>
      </c>
      <c r="AD55" s="601"/>
      <c r="AE55" s="476">
        <f t="shared" si="6"/>
        <v>36439.999999999767</v>
      </c>
      <c r="AF55" s="476">
        <f t="shared" si="7"/>
        <v>437280</v>
      </c>
      <c r="AG55" s="537">
        <f t="shared" si="8"/>
        <v>0</v>
      </c>
      <c r="AH55" s="474">
        <f t="shared" si="4"/>
        <v>473719.99999999977</v>
      </c>
      <c r="AI55" s="591"/>
    </row>
    <row r="56" spans="1:35" s="538" customFormat="1" x14ac:dyDescent="0.45">
      <c r="A56" s="689" t="s">
        <v>66</v>
      </c>
      <c r="B56" s="474">
        <v>547723.74</v>
      </c>
      <c r="C56" s="475"/>
      <c r="D56" s="474">
        <f>378844.15</f>
        <v>378844.15</v>
      </c>
      <c r="E56" s="481">
        <v>184117.56</v>
      </c>
      <c r="F56" s="481">
        <v>168879.39</v>
      </c>
      <c r="G56" s="539">
        <v>244050.01</v>
      </c>
      <c r="H56" s="481">
        <f>184117.56+244050.01</f>
        <v>428167.57</v>
      </c>
      <c r="I56" s="481">
        <v>297149.08</v>
      </c>
      <c r="J56" s="481"/>
      <c r="K56" s="482">
        <v>244165.18</v>
      </c>
      <c r="L56" s="482">
        <f>297149.08+244165.18</f>
        <v>541314.26</v>
      </c>
      <c r="M56" s="482">
        <v>315421.06</v>
      </c>
      <c r="N56" s="482"/>
      <c r="O56" s="476">
        <v>502384.01</v>
      </c>
      <c r="P56" s="477">
        <v>315421.06</v>
      </c>
      <c r="Q56" s="477">
        <v>431512.15</v>
      </c>
      <c r="R56" s="477">
        <v>933896.16</v>
      </c>
      <c r="S56" s="477">
        <v>723152.93</v>
      </c>
      <c r="T56" s="477"/>
      <c r="U56" s="477">
        <v>426644.93000000005</v>
      </c>
      <c r="V56" s="477">
        <v>723152.93</v>
      </c>
      <c r="W56" s="477">
        <v>403736.35</v>
      </c>
      <c r="X56" s="477">
        <f>426644.93+403736.35</f>
        <v>830381.28</v>
      </c>
      <c r="Y56" s="477">
        <v>411889.66</v>
      </c>
      <c r="Z56" s="477"/>
      <c r="AA56" s="477"/>
      <c r="AB56" s="477"/>
      <c r="AC56" s="476">
        <f t="shared" si="5"/>
        <v>411889.85999999993</v>
      </c>
      <c r="AD56" s="601"/>
      <c r="AE56" s="476">
        <f t="shared" si="6"/>
        <v>547723.74</v>
      </c>
      <c r="AF56" s="476">
        <f t="shared" si="7"/>
        <v>4184222.9200000009</v>
      </c>
      <c r="AG56" s="537">
        <f t="shared" si="8"/>
        <v>4320056.8000000007</v>
      </c>
      <c r="AH56" s="474">
        <f t="shared" si="4"/>
        <v>411889.86000000034</v>
      </c>
      <c r="AI56" s="591"/>
    </row>
    <row r="57" spans="1:35" s="538" customFormat="1" x14ac:dyDescent="0.45">
      <c r="A57" s="689" t="s">
        <v>367</v>
      </c>
      <c r="B57" s="474">
        <v>251012.13999999978</v>
      </c>
      <c r="C57" s="475"/>
      <c r="D57" s="474">
        <f>198462.5</f>
        <v>198462.5</v>
      </c>
      <c r="E57" s="481">
        <v>182466.46</v>
      </c>
      <c r="F57" s="481">
        <f>52549.64+182466.46</f>
        <v>235016.09999999998</v>
      </c>
      <c r="G57" s="539">
        <v>199639.7</v>
      </c>
      <c r="H57" s="481">
        <v>199639.7</v>
      </c>
      <c r="I57" s="481">
        <v>216600.9</v>
      </c>
      <c r="J57" s="481">
        <v>216600.9</v>
      </c>
      <c r="K57" s="477">
        <v>207965.52</v>
      </c>
      <c r="L57" s="482">
        <v>207965.52</v>
      </c>
      <c r="M57" s="482">
        <v>197434.49</v>
      </c>
      <c r="N57" s="482">
        <v>197434.49</v>
      </c>
      <c r="O57" s="476">
        <v>227249.76</v>
      </c>
      <c r="P57" s="477">
        <v>227249.76</v>
      </c>
      <c r="Q57" s="477">
        <v>227325.73</v>
      </c>
      <c r="R57" s="477">
        <v>227325.73</v>
      </c>
      <c r="S57" s="477">
        <v>219298.84000000003</v>
      </c>
      <c r="T57" s="477">
        <f>219298.84</f>
        <v>219298.84</v>
      </c>
      <c r="U57" s="477">
        <v>214673.91</v>
      </c>
      <c r="V57" s="477">
        <v>214673.91</v>
      </c>
      <c r="W57" s="477">
        <v>179638.6</v>
      </c>
      <c r="X57" s="477">
        <v>179638.6</v>
      </c>
      <c r="Y57" s="477">
        <v>204096.39</v>
      </c>
      <c r="Z57" s="477">
        <v>204096.39</v>
      </c>
      <c r="AA57" s="477">
        <v>210643.16999999998</v>
      </c>
      <c r="AB57" s="477"/>
      <c r="AC57" s="476">
        <f t="shared" si="5"/>
        <v>210643.16999999981</v>
      </c>
      <c r="AD57" s="601"/>
      <c r="AE57" s="476">
        <f t="shared" si="6"/>
        <v>251012.13999999978</v>
      </c>
      <c r="AF57" s="476">
        <f t="shared" si="7"/>
        <v>2487033.4700000002</v>
      </c>
      <c r="AG57" s="537">
        <f t="shared" si="8"/>
        <v>2527402.4400000004</v>
      </c>
      <c r="AH57" s="474">
        <f t="shared" si="4"/>
        <v>210643.16999999946</v>
      </c>
      <c r="AI57" s="591"/>
    </row>
    <row r="58" spans="1:35" s="538" customFormat="1" x14ac:dyDescent="0.45">
      <c r="A58" s="689" t="s">
        <v>81</v>
      </c>
      <c r="B58" s="474">
        <v>92508.809999999881</v>
      </c>
      <c r="C58" s="475"/>
      <c r="D58" s="474"/>
      <c r="E58" s="481">
        <v>33397.69</v>
      </c>
      <c r="F58" s="481">
        <v>35069.269999999997</v>
      </c>
      <c r="G58" s="539">
        <v>35935.449999999997</v>
      </c>
      <c r="H58" s="481">
        <f>33397.69+35935.45</f>
        <v>69333.14</v>
      </c>
      <c r="I58" s="481">
        <v>38548.620000000003</v>
      </c>
      <c r="J58" s="481">
        <f>38548.62</f>
        <v>38548.620000000003</v>
      </c>
      <c r="K58" s="482">
        <v>35202.78</v>
      </c>
      <c r="L58" s="482">
        <v>35202.78</v>
      </c>
      <c r="M58" s="482">
        <v>33395.25</v>
      </c>
      <c r="N58" s="482"/>
      <c r="O58" s="476">
        <v>36305.5</v>
      </c>
      <c r="P58" s="477">
        <f>33395.25+36305.5</f>
        <v>69700.75</v>
      </c>
      <c r="Q58" s="477">
        <v>36127.06</v>
      </c>
      <c r="R58" s="477">
        <f>36127.06</f>
        <v>36127.06</v>
      </c>
      <c r="S58" s="477">
        <v>34827.050000000003</v>
      </c>
      <c r="T58" s="477"/>
      <c r="U58" s="477">
        <v>34626.46</v>
      </c>
      <c r="V58" s="477">
        <f>34626.46</f>
        <v>34626.46</v>
      </c>
      <c r="W58" s="477">
        <v>32700.41</v>
      </c>
      <c r="X58" s="477">
        <v>34827.050000000003</v>
      </c>
      <c r="Y58" s="477">
        <v>34029.65</v>
      </c>
      <c r="Z58" s="477">
        <v>66730.06</v>
      </c>
      <c r="AA58" s="477">
        <v>35835.32</v>
      </c>
      <c r="AB58" s="477"/>
      <c r="AC58" s="476">
        <f t="shared" si="5"/>
        <v>93274.859999999928</v>
      </c>
      <c r="AD58" s="601"/>
      <c r="AE58" s="476">
        <f t="shared" si="6"/>
        <v>92508.809999999881</v>
      </c>
      <c r="AF58" s="476">
        <f t="shared" si="7"/>
        <v>420931.24000000005</v>
      </c>
      <c r="AG58" s="537">
        <f t="shared" si="8"/>
        <v>420165.19</v>
      </c>
      <c r="AH58" s="474">
        <f t="shared" si="4"/>
        <v>93274.859999999928</v>
      </c>
      <c r="AI58" s="591"/>
    </row>
    <row r="59" spans="1:35" s="538" customFormat="1" x14ac:dyDescent="0.45">
      <c r="A59" s="689" t="s">
        <v>48</v>
      </c>
      <c r="B59" s="474">
        <v>641600.31999999937</v>
      </c>
      <c r="C59" s="475"/>
      <c r="D59" s="474"/>
      <c r="E59" s="481">
        <v>116340.51000000001</v>
      </c>
      <c r="F59" s="481"/>
      <c r="G59" s="539">
        <v>150583.91</v>
      </c>
      <c r="H59" s="481"/>
      <c r="I59" s="481">
        <v>111595.76</v>
      </c>
      <c r="J59" s="481"/>
      <c r="K59" s="482">
        <v>120673.95</v>
      </c>
      <c r="L59" s="482"/>
      <c r="M59" s="482">
        <v>94382.93</v>
      </c>
      <c r="N59" s="482">
        <v>952874.41</v>
      </c>
      <c r="O59" s="476">
        <v>108893.32</v>
      </c>
      <c r="P59" s="477">
        <f>94382.93+111595.76+120673.95</f>
        <v>326652.64</v>
      </c>
      <c r="Q59" s="477">
        <v>141441.54</v>
      </c>
      <c r="R59" s="477"/>
      <c r="S59" s="477">
        <v>91607.28</v>
      </c>
      <c r="T59" s="477"/>
      <c r="U59" s="477">
        <v>72768.73</v>
      </c>
      <c r="V59" s="477"/>
      <c r="W59" s="477">
        <v>62636.52</v>
      </c>
      <c r="X59" s="477"/>
      <c r="Y59" s="477">
        <v>74254.649999999994</v>
      </c>
      <c r="Z59" s="477"/>
      <c r="AA59" s="477">
        <v>66815</v>
      </c>
      <c r="AB59" s="477"/>
      <c r="AC59" s="476">
        <f t="shared" si="5"/>
        <v>574067.36999999941</v>
      </c>
      <c r="AD59" s="601"/>
      <c r="AE59" s="476">
        <f t="shared" si="6"/>
        <v>641600.31999999937</v>
      </c>
      <c r="AF59" s="476">
        <f t="shared" si="7"/>
        <v>1211994.1000000001</v>
      </c>
      <c r="AG59" s="537">
        <f t="shared" si="8"/>
        <v>1279527.05</v>
      </c>
      <c r="AH59" s="474">
        <f t="shared" si="4"/>
        <v>574067.36999999941</v>
      </c>
      <c r="AI59" s="591"/>
    </row>
    <row r="60" spans="1:35" s="538" customFormat="1" x14ac:dyDescent="0.45">
      <c r="A60" s="689" t="s">
        <v>368</v>
      </c>
      <c r="B60" s="474">
        <v>-51517.7799999977</v>
      </c>
      <c r="C60" s="475"/>
      <c r="D60" s="474">
        <v>699433.84</v>
      </c>
      <c r="E60" s="474">
        <v>581598.69000000006</v>
      </c>
      <c r="F60" s="474"/>
      <c r="G60" s="477">
        <v>857345.83000000007</v>
      </c>
      <c r="H60" s="474">
        <v>687992.88</v>
      </c>
      <c r="I60" s="474">
        <v>601040.48</v>
      </c>
      <c r="J60" s="474">
        <v>601040.48</v>
      </c>
      <c r="K60" s="476">
        <v>604569.78</v>
      </c>
      <c r="L60" s="476">
        <v>604569.78</v>
      </c>
      <c r="M60" s="476">
        <v>614812.12</v>
      </c>
      <c r="N60" s="476">
        <v>614812.12</v>
      </c>
      <c r="O60" s="476">
        <v>705316.69</v>
      </c>
      <c r="P60" s="477">
        <v>705316.69</v>
      </c>
      <c r="Q60" s="477">
        <v>770111.94</v>
      </c>
      <c r="R60" s="477">
        <v>770111.94</v>
      </c>
      <c r="S60" s="477">
        <v>742217.46</v>
      </c>
      <c r="T60" s="477">
        <f>742217.46</f>
        <v>742217.46</v>
      </c>
      <c r="U60" s="477">
        <v>767301.71</v>
      </c>
      <c r="V60" s="477"/>
      <c r="W60" s="477">
        <v>686879.92999999993</v>
      </c>
      <c r="X60" s="477">
        <v>767301.71</v>
      </c>
      <c r="Y60" s="477">
        <v>714968.99</v>
      </c>
      <c r="Z60" s="596">
        <f>686879.93+714968.99</f>
        <v>1401848.92</v>
      </c>
      <c r="AA60" s="477">
        <v>790732.85</v>
      </c>
      <c r="AB60" s="477"/>
      <c r="AC60" s="476">
        <f t="shared" si="5"/>
        <v>790732.87000000256</v>
      </c>
      <c r="AD60" s="601"/>
      <c r="AE60" s="476">
        <f t="shared" si="6"/>
        <v>-51517.7799999977</v>
      </c>
      <c r="AF60" s="476">
        <f t="shared" si="7"/>
        <v>8436896.4700000007</v>
      </c>
      <c r="AG60" s="537">
        <f t="shared" si="8"/>
        <v>7594645.8200000003</v>
      </c>
      <c r="AH60" s="474">
        <f t="shared" ref="AH60:AH98" si="9">AE60+AF60-AG60</f>
        <v>790732.87000000291</v>
      </c>
      <c r="AI60" s="591"/>
    </row>
    <row r="61" spans="1:35" s="538" customFormat="1" x14ac:dyDescent="0.45">
      <c r="A61" s="689" t="s">
        <v>78</v>
      </c>
      <c r="B61" s="474">
        <v>-113497.31999998927</v>
      </c>
      <c r="C61" s="475"/>
      <c r="D61" s="474"/>
      <c r="E61" s="481">
        <v>0</v>
      </c>
      <c r="F61" s="481"/>
      <c r="G61" s="539">
        <v>0</v>
      </c>
      <c r="H61" s="481"/>
      <c r="I61" s="481">
        <v>0</v>
      </c>
      <c r="J61" s="481"/>
      <c r="K61" s="482">
        <v>0</v>
      </c>
      <c r="L61" s="482"/>
      <c r="M61" s="482">
        <v>0</v>
      </c>
      <c r="N61" s="482"/>
      <c r="O61" s="476"/>
      <c r="P61" s="477"/>
      <c r="Q61" s="477">
        <v>0</v>
      </c>
      <c r="R61" s="477"/>
      <c r="S61" s="477">
        <v>0</v>
      </c>
      <c r="T61" s="477"/>
      <c r="U61" s="477"/>
      <c r="V61" s="477"/>
      <c r="W61" s="477">
        <v>0</v>
      </c>
      <c r="X61" s="477"/>
      <c r="Y61" s="477"/>
      <c r="Z61" s="477"/>
      <c r="AA61" s="477">
        <v>0</v>
      </c>
      <c r="AB61" s="477"/>
      <c r="AC61" s="476">
        <f t="shared" si="5"/>
        <v>-113497.31999998927</v>
      </c>
      <c r="AD61" s="601"/>
      <c r="AE61" s="476">
        <f t="shared" si="6"/>
        <v>-113497.31999998927</v>
      </c>
      <c r="AF61" s="476">
        <f t="shared" si="7"/>
        <v>0</v>
      </c>
      <c r="AG61" s="537">
        <f t="shared" si="8"/>
        <v>0</v>
      </c>
      <c r="AH61" s="474">
        <f t="shared" si="9"/>
        <v>-113497.31999998927</v>
      </c>
      <c r="AI61" s="591"/>
    </row>
    <row r="62" spans="1:35" s="538" customFormat="1" x14ac:dyDescent="0.45">
      <c r="A62" s="689" t="s">
        <v>190</v>
      </c>
      <c r="B62" s="474">
        <v>-265954.98</v>
      </c>
      <c r="C62" s="475"/>
      <c r="D62" s="474"/>
      <c r="E62" s="481">
        <v>0</v>
      </c>
      <c r="F62" s="481"/>
      <c r="G62" s="539">
        <v>0</v>
      </c>
      <c r="H62" s="481"/>
      <c r="I62" s="481">
        <v>0</v>
      </c>
      <c r="J62" s="481"/>
      <c r="K62" s="482">
        <v>0</v>
      </c>
      <c r="L62" s="482"/>
      <c r="M62" s="482">
        <v>0</v>
      </c>
      <c r="N62" s="482"/>
      <c r="O62" s="476"/>
      <c r="P62" s="477"/>
      <c r="Q62" s="477">
        <v>0</v>
      </c>
      <c r="R62" s="477"/>
      <c r="S62" s="477">
        <v>0</v>
      </c>
      <c r="T62" s="477"/>
      <c r="U62" s="477"/>
      <c r="V62" s="477"/>
      <c r="W62" s="477">
        <v>0</v>
      </c>
      <c r="X62" s="477"/>
      <c r="Y62" s="477"/>
      <c r="Z62" s="477"/>
      <c r="AA62" s="477">
        <v>0</v>
      </c>
      <c r="AB62" s="477"/>
      <c r="AC62" s="476">
        <f t="shared" si="5"/>
        <v>-265954.98</v>
      </c>
      <c r="AD62" s="601"/>
      <c r="AE62" s="476">
        <f t="shared" si="6"/>
        <v>-265954.98</v>
      </c>
      <c r="AF62" s="476">
        <f t="shared" si="7"/>
        <v>0</v>
      </c>
      <c r="AG62" s="537">
        <f t="shared" si="8"/>
        <v>0</v>
      </c>
      <c r="AH62" s="474">
        <f t="shared" si="9"/>
        <v>-265954.98</v>
      </c>
      <c r="AI62" s="591"/>
    </row>
    <row r="63" spans="1:35" s="538" customFormat="1" x14ac:dyDescent="0.45">
      <c r="A63" s="689" t="s">
        <v>52</v>
      </c>
      <c r="B63" s="474">
        <v>124534.13</v>
      </c>
      <c r="C63" s="475"/>
      <c r="D63" s="474"/>
      <c r="E63" s="481">
        <v>0</v>
      </c>
      <c r="F63" s="481">
        <f>22505.85</f>
        <v>22505.85</v>
      </c>
      <c r="G63" s="539">
        <v>0</v>
      </c>
      <c r="H63" s="481"/>
      <c r="I63" s="481">
        <v>0</v>
      </c>
      <c r="J63" s="481"/>
      <c r="K63" s="482">
        <v>0</v>
      </c>
      <c r="L63" s="482"/>
      <c r="M63" s="482">
        <v>0</v>
      </c>
      <c r="N63" s="482"/>
      <c r="O63" s="476"/>
      <c r="P63" s="477"/>
      <c r="Q63" s="477">
        <v>0</v>
      </c>
      <c r="R63" s="477"/>
      <c r="S63" s="477">
        <v>0</v>
      </c>
      <c r="T63" s="477"/>
      <c r="U63" s="477"/>
      <c r="V63" s="477"/>
      <c r="W63" s="477">
        <v>0</v>
      </c>
      <c r="X63" s="477"/>
      <c r="Y63" s="477"/>
      <c r="Z63" s="477"/>
      <c r="AA63" s="477">
        <v>0</v>
      </c>
      <c r="AB63" s="477"/>
      <c r="AC63" s="476">
        <f t="shared" si="5"/>
        <v>102028.28</v>
      </c>
      <c r="AD63" s="601"/>
      <c r="AE63" s="476">
        <f t="shared" si="6"/>
        <v>124534.13</v>
      </c>
      <c r="AF63" s="476">
        <f t="shared" si="7"/>
        <v>0</v>
      </c>
      <c r="AG63" s="537">
        <f t="shared" si="8"/>
        <v>22505.85</v>
      </c>
      <c r="AH63" s="474">
        <f t="shared" si="9"/>
        <v>102028.28</v>
      </c>
      <c r="AI63" s="591"/>
    </row>
    <row r="64" spans="1:35" s="538" customFormat="1" x14ac:dyDescent="0.45">
      <c r="A64" s="689" t="s">
        <v>55</v>
      </c>
      <c r="B64" s="474">
        <v>-221089.2</v>
      </c>
      <c r="C64" s="475"/>
      <c r="D64" s="474"/>
      <c r="E64" s="481">
        <v>0</v>
      </c>
      <c r="F64" s="481"/>
      <c r="G64" s="539">
        <v>0</v>
      </c>
      <c r="H64" s="481"/>
      <c r="I64" s="481">
        <v>0</v>
      </c>
      <c r="J64" s="481"/>
      <c r="K64" s="482">
        <v>0</v>
      </c>
      <c r="L64" s="482"/>
      <c r="M64" s="482">
        <v>0</v>
      </c>
      <c r="N64" s="482"/>
      <c r="O64" s="476"/>
      <c r="P64" s="477"/>
      <c r="Q64" s="477">
        <v>0</v>
      </c>
      <c r="R64" s="477"/>
      <c r="S64" s="477">
        <v>0</v>
      </c>
      <c r="T64" s="477"/>
      <c r="U64" s="477"/>
      <c r="V64" s="477"/>
      <c r="W64" s="477">
        <v>0</v>
      </c>
      <c r="X64" s="477"/>
      <c r="Y64" s="477"/>
      <c r="Z64" s="477"/>
      <c r="AA64" s="477">
        <v>0</v>
      </c>
      <c r="AB64" s="477"/>
      <c r="AC64" s="476">
        <f t="shared" si="5"/>
        <v>-221089.2</v>
      </c>
      <c r="AD64" s="601"/>
      <c r="AE64" s="476">
        <f t="shared" si="6"/>
        <v>-221089.2</v>
      </c>
      <c r="AF64" s="476">
        <f t="shared" si="7"/>
        <v>0</v>
      </c>
      <c r="AG64" s="537">
        <f t="shared" si="8"/>
        <v>0</v>
      </c>
      <c r="AH64" s="474">
        <f t="shared" si="9"/>
        <v>-221089.2</v>
      </c>
      <c r="AI64" s="591"/>
    </row>
    <row r="65" spans="1:35" s="538" customFormat="1" x14ac:dyDescent="0.45">
      <c r="A65" s="689" t="s">
        <v>45</v>
      </c>
      <c r="B65" s="474">
        <v>30976.908300000214</v>
      </c>
      <c r="C65" s="475"/>
      <c r="D65" s="474"/>
      <c r="E65" s="481">
        <v>28788.91</v>
      </c>
      <c r="F65" s="481">
        <v>65687.539999999994</v>
      </c>
      <c r="G65" s="539">
        <v>139993.70000000001</v>
      </c>
      <c r="H65" s="481">
        <f>28788.91</f>
        <v>28788.91</v>
      </c>
      <c r="I65" s="481">
        <v>63032.29</v>
      </c>
      <c r="J65" s="481"/>
      <c r="K65" s="482">
        <v>53582.369999999995</v>
      </c>
      <c r="L65" s="482">
        <v>139993.70000000001</v>
      </c>
      <c r="M65" s="482">
        <v>48995.979999999996</v>
      </c>
      <c r="N65" s="482"/>
      <c r="O65" s="476">
        <v>70792.95</v>
      </c>
      <c r="P65" s="477"/>
      <c r="Q65" s="477">
        <v>86310.64</v>
      </c>
      <c r="R65" s="477"/>
      <c r="S65" s="477">
        <v>59856.27</v>
      </c>
      <c r="T65" s="477">
        <f>265955.84+53582.37</f>
        <v>319538.21000000002</v>
      </c>
      <c r="U65" s="477">
        <v>55784.11</v>
      </c>
      <c r="V65" s="477"/>
      <c r="W65" s="477">
        <v>48670.99</v>
      </c>
      <c r="X65" s="477"/>
      <c r="Y65" s="477">
        <v>-2042.6500000000015</v>
      </c>
      <c r="Z65" s="477">
        <v>167487.39000000001</v>
      </c>
      <c r="AA65" s="477">
        <v>47097.89</v>
      </c>
      <c r="AB65" s="477"/>
      <c r="AC65" s="476">
        <f t="shared" si="5"/>
        <v>10344.60830000024</v>
      </c>
      <c r="AD65" s="601"/>
      <c r="AE65" s="476">
        <f t="shared" si="6"/>
        <v>30976.908300000214</v>
      </c>
      <c r="AF65" s="476">
        <f t="shared" si="7"/>
        <v>700863.45</v>
      </c>
      <c r="AG65" s="537">
        <f t="shared" si="8"/>
        <v>721495.75000000012</v>
      </c>
      <c r="AH65" s="474">
        <f t="shared" si="9"/>
        <v>10344.60830000008</v>
      </c>
      <c r="AI65" s="591"/>
    </row>
    <row r="66" spans="1:35" s="538" customFormat="1" x14ac:dyDescent="0.45">
      <c r="A66" s="689" t="s">
        <v>191</v>
      </c>
      <c r="B66" s="474">
        <v>-29297.360000000015</v>
      </c>
      <c r="C66" s="475"/>
      <c r="D66" s="474"/>
      <c r="E66" s="481">
        <v>0</v>
      </c>
      <c r="F66" s="481"/>
      <c r="G66" s="539">
        <v>0</v>
      </c>
      <c r="H66" s="481"/>
      <c r="I66" s="481">
        <v>0</v>
      </c>
      <c r="J66" s="481"/>
      <c r="K66" s="482">
        <v>0</v>
      </c>
      <c r="L66" s="482"/>
      <c r="M66" s="482">
        <v>0</v>
      </c>
      <c r="N66" s="482"/>
      <c r="O66" s="476"/>
      <c r="P66" s="477"/>
      <c r="Q66" s="477">
        <v>0</v>
      </c>
      <c r="R66" s="477"/>
      <c r="S66" s="477">
        <v>0</v>
      </c>
      <c r="T66" s="477"/>
      <c r="U66" s="477"/>
      <c r="V66" s="477"/>
      <c r="W66" s="477">
        <v>0</v>
      </c>
      <c r="X66" s="477"/>
      <c r="Y66" s="477"/>
      <c r="Z66" s="477"/>
      <c r="AA66" s="477">
        <v>0</v>
      </c>
      <c r="AB66" s="477"/>
      <c r="AC66" s="476">
        <f t="shared" si="5"/>
        <v>-29297.360000000015</v>
      </c>
      <c r="AD66" s="601"/>
      <c r="AE66" s="476">
        <f t="shared" si="6"/>
        <v>-29297.360000000015</v>
      </c>
      <c r="AF66" s="476">
        <f t="shared" si="7"/>
        <v>0</v>
      </c>
      <c r="AG66" s="537">
        <f t="shared" si="8"/>
        <v>0</v>
      </c>
      <c r="AH66" s="474">
        <f t="shared" si="9"/>
        <v>-29297.360000000015</v>
      </c>
      <c r="AI66" s="591"/>
    </row>
    <row r="67" spans="1:35" s="538" customFormat="1" x14ac:dyDescent="0.45">
      <c r="A67" s="689" t="s">
        <v>309</v>
      </c>
      <c r="B67" s="559">
        <v>125969.36999999998</v>
      </c>
      <c r="C67" s="475"/>
      <c r="D67" s="474"/>
      <c r="E67" s="481">
        <v>52</v>
      </c>
      <c r="F67" s="481"/>
      <c r="G67" s="539">
        <v>0</v>
      </c>
      <c r="H67" s="481"/>
      <c r="I67" s="481">
        <v>0</v>
      </c>
      <c r="J67" s="481">
        <f>100046.31</f>
        <v>100046.31</v>
      </c>
      <c r="K67" s="482">
        <v>0</v>
      </c>
      <c r="L67" s="482"/>
      <c r="M67" s="482">
        <v>0</v>
      </c>
      <c r="N67" s="482"/>
      <c r="O67" s="476"/>
      <c r="P67" s="477"/>
      <c r="Q67" s="477">
        <v>2276.4299999999998</v>
      </c>
      <c r="R67" s="477"/>
      <c r="S67" s="477">
        <v>13616.33</v>
      </c>
      <c r="T67" s="477"/>
      <c r="U67" s="477"/>
      <c r="V67" s="477">
        <v>15892.76</v>
      </c>
      <c r="W67" s="477">
        <v>3468.32</v>
      </c>
      <c r="X67" s="477">
        <f>3468.32</f>
        <v>3468.32</v>
      </c>
      <c r="Y67" s="477">
        <v>58318.7</v>
      </c>
      <c r="Z67" s="477"/>
      <c r="AA67" s="477">
        <v>895.67</v>
      </c>
      <c r="AB67" s="477"/>
      <c r="AC67" s="476">
        <f t="shared" si="5"/>
        <v>85189.429999999978</v>
      </c>
      <c r="AD67" s="601"/>
      <c r="AE67" s="476">
        <f t="shared" si="6"/>
        <v>125969.36999999998</v>
      </c>
      <c r="AF67" s="476">
        <f t="shared" si="7"/>
        <v>78627.45</v>
      </c>
      <c r="AG67" s="537">
        <f t="shared" si="8"/>
        <v>119407.39</v>
      </c>
      <c r="AH67" s="474">
        <f t="shared" si="9"/>
        <v>85189.429999999978</v>
      </c>
      <c r="AI67" s="591"/>
    </row>
    <row r="68" spans="1:35" s="538" customFormat="1" x14ac:dyDescent="0.45">
      <c r="A68" s="689" t="s">
        <v>197</v>
      </c>
      <c r="B68" s="474">
        <v>271661.14999999997</v>
      </c>
      <c r="C68" s="475"/>
      <c r="D68" s="474"/>
      <c r="E68" s="481">
        <v>0</v>
      </c>
      <c r="F68" s="481"/>
      <c r="G68" s="539">
        <v>0</v>
      </c>
      <c r="H68" s="481"/>
      <c r="I68" s="481">
        <v>0</v>
      </c>
      <c r="J68" s="481"/>
      <c r="K68" s="482">
        <v>0</v>
      </c>
      <c r="L68" s="482">
        <v>142766.72</v>
      </c>
      <c r="M68" s="482">
        <v>0</v>
      </c>
      <c r="N68" s="482"/>
      <c r="O68" s="476"/>
      <c r="P68" s="477"/>
      <c r="Q68" s="477">
        <v>0</v>
      </c>
      <c r="R68" s="477"/>
      <c r="S68" s="477">
        <v>0</v>
      </c>
      <c r="T68" s="477"/>
      <c r="U68" s="477"/>
      <c r="V68" s="477"/>
      <c r="W68" s="477">
        <v>0</v>
      </c>
      <c r="X68" s="477"/>
      <c r="Y68" s="477"/>
      <c r="Z68" s="477"/>
      <c r="AA68" s="477">
        <v>0</v>
      </c>
      <c r="AB68" s="477"/>
      <c r="AC68" s="476">
        <f t="shared" si="5"/>
        <v>128894.42999999996</v>
      </c>
      <c r="AD68" s="601"/>
      <c r="AE68" s="476">
        <f t="shared" si="6"/>
        <v>271661.14999999997</v>
      </c>
      <c r="AF68" s="476">
        <f t="shared" si="7"/>
        <v>0</v>
      </c>
      <c r="AG68" s="537">
        <f t="shared" si="8"/>
        <v>142766.72</v>
      </c>
      <c r="AH68" s="474">
        <f t="shared" si="9"/>
        <v>128894.42999999996</v>
      </c>
      <c r="AI68" s="591"/>
    </row>
    <row r="69" spans="1:35" s="538" customFormat="1" x14ac:dyDescent="0.45">
      <c r="A69" s="689" t="s">
        <v>80</v>
      </c>
      <c r="B69" s="474">
        <v>18726.736000000001</v>
      </c>
      <c r="C69" s="475"/>
      <c r="D69" s="474">
        <v>12565.78</v>
      </c>
      <c r="E69" s="481">
        <v>14511.970000000001</v>
      </c>
      <c r="F69" s="481"/>
      <c r="G69" s="597">
        <v>12582.63</v>
      </c>
      <c r="H69" s="481">
        <f>7747.1+27094.6</f>
        <v>34841.699999999997</v>
      </c>
      <c r="I69" s="481">
        <v>11237.86</v>
      </c>
      <c r="J69" s="481">
        <f>11237.86</f>
        <v>11237.86</v>
      </c>
      <c r="K69" s="482">
        <v>10906.11</v>
      </c>
      <c r="L69" s="482">
        <v>10906.11</v>
      </c>
      <c r="M69" s="482">
        <v>15146.45</v>
      </c>
      <c r="N69" s="482">
        <v>15146.45</v>
      </c>
      <c r="O69" s="476">
        <v>11427.66</v>
      </c>
      <c r="P69" s="477">
        <v>11427.66</v>
      </c>
      <c r="Q69" s="477">
        <v>13598.46</v>
      </c>
      <c r="R69" s="477">
        <v>13598.46</v>
      </c>
      <c r="S69" s="477">
        <v>12179.2</v>
      </c>
      <c r="T69" s="477">
        <v>12179.2</v>
      </c>
      <c r="U69" s="477">
        <v>10805.66</v>
      </c>
      <c r="V69" s="477"/>
      <c r="W69" s="477">
        <v>11214.72</v>
      </c>
      <c r="X69" s="477">
        <v>22020.379999999997</v>
      </c>
      <c r="Y69" s="477">
        <v>11490.41</v>
      </c>
      <c r="Z69" s="477">
        <v>12088.95</v>
      </c>
      <c r="AA69" s="477">
        <v>5601.5899999999965</v>
      </c>
      <c r="AB69" s="477"/>
      <c r="AC69" s="476">
        <f t="shared" si="5"/>
        <v>3416.9059999999954</v>
      </c>
      <c r="AD69" s="601"/>
      <c r="AE69" s="476">
        <f t="shared" si="6"/>
        <v>18726.736000000001</v>
      </c>
      <c r="AF69" s="476">
        <f t="shared" si="7"/>
        <v>140702.72</v>
      </c>
      <c r="AG69" s="537">
        <f t="shared" si="8"/>
        <v>156012.54999999999</v>
      </c>
      <c r="AH69" s="474">
        <f t="shared" si="9"/>
        <v>3416.9060000000172</v>
      </c>
      <c r="AI69" s="591"/>
    </row>
    <row r="70" spans="1:35" s="538" customFormat="1" x14ac:dyDescent="0.45">
      <c r="A70" s="517" t="s">
        <v>76</v>
      </c>
      <c r="B70" s="474">
        <v>-6676.2799999998833</v>
      </c>
      <c r="C70" s="484"/>
      <c r="D70" s="485"/>
      <c r="E70" s="474">
        <v>0</v>
      </c>
      <c r="F70" s="474"/>
      <c r="G70" s="477">
        <v>0</v>
      </c>
      <c r="H70" s="481"/>
      <c r="I70" s="489">
        <v>0</v>
      </c>
      <c r="J70" s="481"/>
      <c r="K70" s="482">
        <v>0</v>
      </c>
      <c r="L70" s="478"/>
      <c r="M70" s="482">
        <v>0</v>
      </c>
      <c r="N70" s="482"/>
      <c r="O70" s="476"/>
      <c r="P70" s="477"/>
      <c r="Q70" s="477">
        <v>0</v>
      </c>
      <c r="R70" s="477"/>
      <c r="S70" s="477">
        <v>0</v>
      </c>
      <c r="T70" s="477"/>
      <c r="U70" s="477"/>
      <c r="V70" s="477"/>
      <c r="W70" s="477">
        <v>0</v>
      </c>
      <c r="X70" s="477"/>
      <c r="Y70" s="477"/>
      <c r="Z70" s="477"/>
      <c r="AA70" s="477">
        <v>0</v>
      </c>
      <c r="AB70" s="477"/>
      <c r="AC70" s="476">
        <f t="shared" ref="AC70:AC98" si="10">B70-C70-D70+E70-F70+G70-H70+I70-J70+K70-L70+M70-N70+O70-P70+Q70-R70+S70-T70+U70-V70+W70-X70+Y70-Z70+AA70</f>
        <v>-6676.2799999998833</v>
      </c>
      <c r="AD70" s="601"/>
      <c r="AE70" s="476">
        <f t="shared" ref="AE70:AE88" si="11">B70</f>
        <v>-6676.2799999998833</v>
      </c>
      <c r="AF70" s="476">
        <f t="shared" ref="AF70:AF98" si="12">E70+G70+I70+K70+M70+O70+Q70+S70+U70+W70+Y70+AA70</f>
        <v>0</v>
      </c>
      <c r="AG70" s="537">
        <f t="shared" ref="AG70:AG98" si="13">D70+F70+H70+J70+L70+N70+P70+R70+T70+V70+X70+Z70</f>
        <v>0</v>
      </c>
      <c r="AH70" s="474">
        <f t="shared" si="9"/>
        <v>-6676.2799999998833</v>
      </c>
      <c r="AI70" s="591"/>
    </row>
    <row r="71" spans="1:35" s="538" customFormat="1" x14ac:dyDescent="0.45">
      <c r="A71" s="694" t="s">
        <v>61</v>
      </c>
      <c r="B71" s="474">
        <v>154503.3499999998</v>
      </c>
      <c r="C71" s="484"/>
      <c r="D71" s="485">
        <f>6630+1370.66+1479.65+26422.69</f>
        <v>35903</v>
      </c>
      <c r="E71" s="485">
        <v>162441.68</v>
      </c>
      <c r="F71" s="488">
        <f>2664.84+1282.2+1350.1+46674.78+11328.2+95225.03</f>
        <v>158525.15</v>
      </c>
      <c r="G71" s="540">
        <v>149672.73000000001</v>
      </c>
      <c r="H71" s="489">
        <f>1275.1+200+120439.23+11458.2</f>
        <v>133372.53</v>
      </c>
      <c r="I71" s="485">
        <v>151888.18</v>
      </c>
      <c r="J71" s="489">
        <f>8555.3+9020+1848.9+134018.09+9020+5592.84</f>
        <v>168055.13</v>
      </c>
      <c r="K71" s="482">
        <v>164991.51</v>
      </c>
      <c r="L71" s="482">
        <f>7387.6+158765.32</f>
        <v>166152.92000000001</v>
      </c>
      <c r="M71" s="482">
        <v>155338.19</v>
      </c>
      <c r="N71" s="482">
        <v>113563.26999999999</v>
      </c>
      <c r="O71" s="476">
        <v>163687.71</v>
      </c>
      <c r="P71" s="477">
        <f>20934.55+17184.06+110073.75+53613.96</f>
        <v>201806.31999999998</v>
      </c>
      <c r="Q71" s="477">
        <v>166817.48000000001</v>
      </c>
      <c r="R71" s="477">
        <f>129517.68+16453+100</f>
        <v>146070.68</v>
      </c>
      <c r="S71" s="477">
        <v>163411.10999999999</v>
      </c>
      <c r="T71" s="477">
        <f>9020</f>
        <v>9020</v>
      </c>
      <c r="U71" s="477">
        <v>152144.48000000001</v>
      </c>
      <c r="V71" s="477"/>
      <c r="W71" s="477">
        <v>144405.83000000002</v>
      </c>
      <c r="X71" s="477">
        <v>458602.43</v>
      </c>
      <c r="Y71" s="477">
        <v>152003.16999999998</v>
      </c>
      <c r="Z71" s="461"/>
      <c r="AA71" s="477">
        <v>165678.26</v>
      </c>
      <c r="AB71" s="477"/>
      <c r="AC71" s="476">
        <f t="shared" si="10"/>
        <v>455912.24999999977</v>
      </c>
      <c r="AD71" s="601"/>
      <c r="AE71" s="476">
        <f t="shared" si="11"/>
        <v>154503.3499999998</v>
      </c>
      <c r="AF71" s="476">
        <f t="shared" si="12"/>
        <v>1892480.3299999998</v>
      </c>
      <c r="AG71" s="537">
        <f t="shared" si="13"/>
        <v>1591071.43</v>
      </c>
      <c r="AH71" s="474">
        <f t="shared" si="9"/>
        <v>455912.24999999977</v>
      </c>
      <c r="AI71" s="591"/>
    </row>
    <row r="72" spans="1:35" s="538" customFormat="1" x14ac:dyDescent="0.45">
      <c r="A72" s="694" t="s">
        <v>70</v>
      </c>
      <c r="B72" s="474">
        <v>1612105.8599999989</v>
      </c>
      <c r="C72" s="484"/>
      <c r="D72" s="485"/>
      <c r="E72" s="485">
        <v>187360.29</v>
      </c>
      <c r="F72" s="485"/>
      <c r="G72" s="490">
        <v>284763.90000000002</v>
      </c>
      <c r="H72" s="485"/>
      <c r="I72" s="485">
        <v>238754.79</v>
      </c>
      <c r="J72" s="474"/>
      <c r="K72" s="482">
        <v>162891.79999999999</v>
      </c>
      <c r="L72" s="482"/>
      <c r="M72" s="482">
        <v>142896.47</v>
      </c>
      <c r="N72" s="482"/>
      <c r="O72" s="476">
        <v>127528.76000000001</v>
      </c>
      <c r="P72" s="477"/>
      <c r="Q72" s="477">
        <v>141235.67000000001</v>
      </c>
      <c r="R72" s="477"/>
      <c r="S72" s="477">
        <v>170687.41</v>
      </c>
      <c r="T72" s="477"/>
      <c r="U72" s="477">
        <v>155735.82999999999</v>
      </c>
      <c r="V72" s="477"/>
      <c r="W72" s="477">
        <v>114950.57</v>
      </c>
      <c r="X72" s="477">
        <v>1611854.92</v>
      </c>
      <c r="Y72" s="477">
        <v>-459450.11000000004</v>
      </c>
      <c r="Z72" s="477"/>
      <c r="AA72" s="477">
        <v>877171.27999999991</v>
      </c>
      <c r="AB72" s="477"/>
      <c r="AC72" s="476">
        <f t="shared" si="10"/>
        <v>2144777.5999999992</v>
      </c>
      <c r="AD72" s="601"/>
      <c r="AE72" s="476">
        <f t="shared" si="11"/>
        <v>1612105.8599999989</v>
      </c>
      <c r="AF72" s="476">
        <f t="shared" si="12"/>
        <v>2144526.6599999997</v>
      </c>
      <c r="AG72" s="537">
        <f t="shared" si="13"/>
        <v>1611854.92</v>
      </c>
      <c r="AH72" s="474">
        <f t="shared" si="9"/>
        <v>2144777.5999999987</v>
      </c>
      <c r="AI72" s="591"/>
    </row>
    <row r="73" spans="1:35" s="538" customFormat="1" x14ac:dyDescent="0.45">
      <c r="A73" s="694" t="s">
        <v>58</v>
      </c>
      <c r="B73" s="474">
        <v>365430.02999999933</v>
      </c>
      <c r="C73" s="484"/>
      <c r="D73" s="485"/>
      <c r="E73" s="485">
        <v>536864.13</v>
      </c>
      <c r="F73" s="485">
        <f>536864.13</f>
        <v>536864.13</v>
      </c>
      <c r="G73" s="490">
        <v>540411.12</v>
      </c>
      <c r="H73" s="485">
        <v>365430.03</v>
      </c>
      <c r="I73" s="485">
        <v>564449.99</v>
      </c>
      <c r="J73" s="485">
        <f>540411.12+564449.99</f>
        <v>1104861.1099999999</v>
      </c>
      <c r="K73" s="487">
        <v>562089.80000000005</v>
      </c>
      <c r="L73" s="474">
        <v>562089.80000000005</v>
      </c>
      <c r="M73" s="474">
        <v>561191.17000000004</v>
      </c>
      <c r="N73" s="481"/>
      <c r="O73" s="476">
        <v>663187.36</v>
      </c>
      <c r="P73" s="477">
        <f>561191.17+663187.36</f>
        <v>1224378.53</v>
      </c>
      <c r="Q73" s="477">
        <v>663536.14</v>
      </c>
      <c r="R73" s="477"/>
      <c r="S73" s="477">
        <v>668112.36</v>
      </c>
      <c r="T73" s="477">
        <f>663536.14+668112.36</f>
        <v>1331648.5</v>
      </c>
      <c r="U73" s="477">
        <v>614597.99</v>
      </c>
      <c r="V73" s="477">
        <v>614597.99</v>
      </c>
      <c r="W73" s="477">
        <v>554961.27</v>
      </c>
      <c r="X73" s="477">
        <v>554961.27</v>
      </c>
      <c r="Y73" s="477">
        <v>629830.29</v>
      </c>
      <c r="Z73" s="477">
        <f>629830.29</f>
        <v>629830.29</v>
      </c>
      <c r="AA73" s="477">
        <v>657324.30000000005</v>
      </c>
      <c r="AB73" s="477"/>
      <c r="AC73" s="476">
        <f t="shared" si="10"/>
        <v>657324.29999999958</v>
      </c>
      <c r="AD73" s="601"/>
      <c r="AE73" s="476">
        <f t="shared" si="11"/>
        <v>365430.02999999933</v>
      </c>
      <c r="AF73" s="476">
        <f t="shared" si="12"/>
        <v>7216555.9199999999</v>
      </c>
      <c r="AG73" s="537">
        <f t="shared" si="13"/>
        <v>6924661.6500000013</v>
      </c>
      <c r="AH73" s="474">
        <f t="shared" si="9"/>
        <v>657324.29999999795</v>
      </c>
      <c r="AI73" s="591"/>
    </row>
    <row r="74" spans="1:35" s="538" customFormat="1" x14ac:dyDescent="0.45">
      <c r="A74" s="694" t="s">
        <v>194</v>
      </c>
      <c r="B74" s="474">
        <v>-115236.29000000001</v>
      </c>
      <c r="C74" s="484"/>
      <c r="D74" s="485"/>
      <c r="E74" s="485">
        <v>0</v>
      </c>
      <c r="F74" s="485"/>
      <c r="G74" s="490">
        <v>0</v>
      </c>
      <c r="H74" s="485"/>
      <c r="I74" s="485">
        <v>0</v>
      </c>
      <c r="J74" s="485"/>
      <c r="K74" s="488">
        <v>0</v>
      </c>
      <c r="L74" s="487"/>
      <c r="M74" s="485">
        <v>0</v>
      </c>
      <c r="N74" s="486"/>
      <c r="O74" s="476"/>
      <c r="P74" s="477"/>
      <c r="Q74" s="477">
        <v>0</v>
      </c>
      <c r="R74" s="477"/>
      <c r="S74" s="477">
        <v>0</v>
      </c>
      <c r="T74" s="477"/>
      <c r="U74" s="477"/>
      <c r="V74" s="477"/>
      <c r="W74" s="477">
        <v>0</v>
      </c>
      <c r="X74" s="477"/>
      <c r="Y74" s="477"/>
      <c r="Z74" s="477"/>
      <c r="AA74" s="477">
        <v>0</v>
      </c>
      <c r="AB74" s="477"/>
      <c r="AC74" s="476">
        <f t="shared" si="10"/>
        <v>-115236.29000000001</v>
      </c>
      <c r="AD74" s="601"/>
      <c r="AE74" s="476">
        <f t="shared" si="11"/>
        <v>-115236.29000000001</v>
      </c>
      <c r="AF74" s="476">
        <f t="shared" si="12"/>
        <v>0</v>
      </c>
      <c r="AG74" s="537">
        <f t="shared" si="13"/>
        <v>0</v>
      </c>
      <c r="AH74" s="474">
        <f t="shared" si="9"/>
        <v>-115236.29000000001</v>
      </c>
      <c r="AI74" s="591"/>
    </row>
    <row r="75" spans="1:35" s="538" customFormat="1" x14ac:dyDescent="0.45">
      <c r="A75" s="694" t="s">
        <v>27</v>
      </c>
      <c r="B75" s="474">
        <v>3374726.4899999984</v>
      </c>
      <c r="C75" s="484"/>
      <c r="D75" s="485">
        <f>417936.21</f>
        <v>417936.21</v>
      </c>
      <c r="E75" s="485">
        <v>455075.78</v>
      </c>
      <c r="F75" s="485"/>
      <c r="G75" s="490">
        <v>386920.34</v>
      </c>
      <c r="H75" s="485">
        <f>706543.61+327121.05</f>
        <v>1033664.6599999999</v>
      </c>
      <c r="I75" s="474">
        <v>354376.69</v>
      </c>
      <c r="J75" s="485">
        <f>310518.24</f>
        <v>310518.24</v>
      </c>
      <c r="K75" s="485">
        <v>366921.08</v>
      </c>
      <c r="L75" s="485">
        <f>366921.08</f>
        <v>366921.08</v>
      </c>
      <c r="M75" s="485">
        <v>362448.05000000005</v>
      </c>
      <c r="N75" s="485">
        <v>323376.8</v>
      </c>
      <c r="O75" s="476">
        <v>364389.45</v>
      </c>
      <c r="P75" s="477">
        <v>326249</v>
      </c>
      <c r="Q75" s="477">
        <v>388636.12</v>
      </c>
      <c r="R75" s="477">
        <v>304569.62</v>
      </c>
      <c r="S75" s="477">
        <v>363715.92</v>
      </c>
      <c r="T75" s="477">
        <f>313140.47</f>
        <v>313140.46999999997</v>
      </c>
      <c r="U75" s="477">
        <v>328521.02</v>
      </c>
      <c r="V75" s="477">
        <f>277601.77</f>
        <v>277601.77</v>
      </c>
      <c r="W75" s="477">
        <v>274603.34999999998</v>
      </c>
      <c r="X75" s="477">
        <f>226414.08</f>
        <v>226414.07999999999</v>
      </c>
      <c r="Y75" s="477">
        <v>320949.95</v>
      </c>
      <c r="Z75" s="477">
        <f>278747.14</f>
        <v>278747.14</v>
      </c>
      <c r="AA75" s="477">
        <v>299376.83999999997</v>
      </c>
      <c r="AB75" s="477"/>
      <c r="AC75" s="476">
        <f t="shared" si="10"/>
        <v>3461522.0099999988</v>
      </c>
      <c r="AD75" s="601"/>
      <c r="AE75" s="476">
        <f t="shared" si="11"/>
        <v>3374726.4899999984</v>
      </c>
      <c r="AF75" s="476">
        <f t="shared" si="12"/>
        <v>4265934.5900000008</v>
      </c>
      <c r="AG75" s="537">
        <f t="shared" si="13"/>
        <v>4179139.0700000003</v>
      </c>
      <c r="AH75" s="474">
        <f t="shared" si="9"/>
        <v>3461522.0099999988</v>
      </c>
      <c r="AI75" s="591"/>
    </row>
    <row r="76" spans="1:35" s="538" customFormat="1" x14ac:dyDescent="0.45">
      <c r="A76" s="517" t="s">
        <v>340</v>
      </c>
      <c r="B76" s="474">
        <v>1249353.8420000009</v>
      </c>
      <c r="C76" s="475"/>
      <c r="D76" s="474">
        <f>690356.31</f>
        <v>690356.31</v>
      </c>
      <c r="E76" s="474">
        <v>542912.86</v>
      </c>
      <c r="F76" s="474">
        <v>558997.53</v>
      </c>
      <c r="G76" s="477">
        <v>520344.72000000003</v>
      </c>
      <c r="H76" s="474">
        <v>542912.86</v>
      </c>
      <c r="I76" s="474">
        <v>538052.11</v>
      </c>
      <c r="J76" s="474">
        <f>520344.72</f>
        <v>520344.72</v>
      </c>
      <c r="K76" s="474">
        <v>531415.78</v>
      </c>
      <c r="L76" s="474">
        <f>538052.11+531415.78</f>
        <v>1069467.8900000001</v>
      </c>
      <c r="M76" s="474">
        <v>527297.57999999996</v>
      </c>
      <c r="N76" s="474"/>
      <c r="O76" s="476">
        <v>578629.28999999992</v>
      </c>
      <c r="P76" s="477">
        <v>527297.57999999996</v>
      </c>
      <c r="Q76" s="477">
        <v>636660.56000000006</v>
      </c>
      <c r="R76" s="477">
        <v>578629.29</v>
      </c>
      <c r="S76" s="477">
        <v>629521.30000000005</v>
      </c>
      <c r="T76" s="477">
        <f>636660.56+629521.3</f>
        <v>1266181.8600000001</v>
      </c>
      <c r="U76" s="477">
        <v>565870.16</v>
      </c>
      <c r="V76" s="477"/>
      <c r="W76" s="477">
        <v>504818.33999999997</v>
      </c>
      <c r="X76" s="477">
        <v>565870.16</v>
      </c>
      <c r="Y76" s="477">
        <v>595690.12000000011</v>
      </c>
      <c r="Z76" s="477">
        <f>504818.34+595690.12</f>
        <v>1100508.46</v>
      </c>
      <c r="AA76" s="477">
        <v>587667.1</v>
      </c>
      <c r="AB76" s="477"/>
      <c r="AC76" s="476">
        <f t="shared" si="10"/>
        <v>587667.10200000077</v>
      </c>
      <c r="AD76" s="601"/>
      <c r="AE76" s="476">
        <f t="shared" si="11"/>
        <v>1249353.8420000009</v>
      </c>
      <c r="AF76" s="476">
        <f t="shared" si="12"/>
        <v>6758879.9199999999</v>
      </c>
      <c r="AG76" s="537">
        <f t="shared" si="13"/>
        <v>7420566.6600000001</v>
      </c>
      <c r="AH76" s="474">
        <f t="shared" si="9"/>
        <v>587667.10200000089</v>
      </c>
      <c r="AI76" s="591"/>
    </row>
    <row r="77" spans="1:35" s="538" customFormat="1" x14ac:dyDescent="0.45">
      <c r="A77" s="517" t="s">
        <v>341</v>
      </c>
      <c r="B77" s="474">
        <v>31122125.885999992</v>
      </c>
      <c r="C77" s="475"/>
      <c r="D77" s="474">
        <f>5000000+15191431.66</f>
        <v>20191431.66</v>
      </c>
      <c r="E77" s="474">
        <v>5981092.2400000002</v>
      </c>
      <c r="F77" s="474"/>
      <c r="G77" s="477">
        <v>6404129.5399999991</v>
      </c>
      <c r="H77" s="474"/>
      <c r="I77" s="485">
        <v>6243457.8999999994</v>
      </c>
      <c r="J77" s="474">
        <f>5943545.68</f>
        <v>5943545.6799999997</v>
      </c>
      <c r="K77" s="474">
        <v>6249174.6100000003</v>
      </c>
      <c r="L77" s="474">
        <f>6144524.89</f>
        <v>6144524.8899999997</v>
      </c>
      <c r="M77" s="474">
        <v>6208218.8100000005</v>
      </c>
      <c r="N77" s="474">
        <v>12357379.109999999</v>
      </c>
      <c r="O77" s="476">
        <v>6579403.4200000009</v>
      </c>
      <c r="P77" s="477">
        <f>6156274.5</f>
        <v>6156274.5</v>
      </c>
      <c r="Q77" s="477">
        <v>6486204.1600000001</v>
      </c>
      <c r="R77" s="477">
        <f>6361562.86</f>
        <v>6361562.8600000003</v>
      </c>
      <c r="S77" s="477">
        <v>7778210.5200000005</v>
      </c>
      <c r="T77" s="477">
        <f>6468566.76</f>
        <v>6468566.7599999998</v>
      </c>
      <c r="U77" s="477">
        <v>6176117.4400000004</v>
      </c>
      <c r="V77" s="477">
        <f>2573189.08+7726596.62</f>
        <v>10299785.699999999</v>
      </c>
      <c r="W77" s="477">
        <v>6245232.3699999992</v>
      </c>
      <c r="X77" s="477">
        <v>6082875.2800000003</v>
      </c>
      <c r="Y77" s="477">
        <v>7413238.5800000001</v>
      </c>
      <c r="Z77" s="477">
        <f>5418235.55+13658470.95</f>
        <v>19076706.5</v>
      </c>
      <c r="AA77" s="477">
        <v>7818294.4000000004</v>
      </c>
      <c r="AB77" s="477"/>
      <c r="AC77" s="476">
        <f t="shared" si="10"/>
        <v>11622246.935999991</v>
      </c>
      <c r="AD77" s="601"/>
      <c r="AE77" s="476">
        <f t="shared" si="11"/>
        <v>31122125.885999992</v>
      </c>
      <c r="AF77" s="476">
        <f t="shared" si="12"/>
        <v>79582773.99000001</v>
      </c>
      <c r="AG77" s="537">
        <f t="shared" si="13"/>
        <v>99082652.939999998</v>
      </c>
      <c r="AH77" s="474">
        <f t="shared" si="9"/>
        <v>11622246.936000004</v>
      </c>
      <c r="AI77" s="591"/>
    </row>
    <row r="78" spans="1:35" s="538" customFormat="1" x14ac:dyDescent="0.45">
      <c r="A78" s="694" t="s">
        <v>342</v>
      </c>
      <c r="B78" s="474">
        <v>15275.82</v>
      </c>
      <c r="C78" s="475"/>
      <c r="D78" s="474"/>
      <c r="E78" s="474">
        <v>34007.589999999997</v>
      </c>
      <c r="F78" s="474"/>
      <c r="G78" s="477">
        <v>206357.08</v>
      </c>
      <c r="H78" s="474"/>
      <c r="I78" s="474">
        <v>20286.419999999998</v>
      </c>
      <c r="J78" s="485"/>
      <c r="K78" s="485">
        <v>19651.82</v>
      </c>
      <c r="L78" s="485"/>
      <c r="M78" s="485">
        <v>459.05</v>
      </c>
      <c r="N78" s="485"/>
      <c r="O78" s="476"/>
      <c r="P78" s="477"/>
      <c r="Q78" s="477">
        <v>2855.01</v>
      </c>
      <c r="R78" s="477"/>
      <c r="S78" s="477">
        <v>0</v>
      </c>
      <c r="T78" s="477"/>
      <c r="U78" s="477"/>
      <c r="V78" s="477"/>
      <c r="W78" s="477">
        <v>0</v>
      </c>
      <c r="X78" s="477"/>
      <c r="Y78" s="477"/>
      <c r="Z78" s="461"/>
      <c r="AA78" s="477">
        <v>0</v>
      </c>
      <c r="AB78" s="477"/>
      <c r="AC78" s="476">
        <f t="shared" si="10"/>
        <v>298892.78999999998</v>
      </c>
      <c r="AD78" s="601"/>
      <c r="AE78" s="476">
        <f t="shared" si="11"/>
        <v>15275.82</v>
      </c>
      <c r="AF78" s="476">
        <f t="shared" si="12"/>
        <v>283616.96999999997</v>
      </c>
      <c r="AG78" s="537">
        <f t="shared" si="13"/>
        <v>0</v>
      </c>
      <c r="AH78" s="474">
        <f t="shared" si="9"/>
        <v>298892.78999999998</v>
      </c>
      <c r="AI78" s="591"/>
    </row>
    <row r="79" spans="1:35" s="538" customFormat="1" x14ac:dyDescent="0.45">
      <c r="A79" s="517" t="s">
        <v>369</v>
      </c>
      <c r="B79" s="474">
        <v>526</v>
      </c>
      <c r="C79" s="475"/>
      <c r="D79" s="474"/>
      <c r="E79" s="474"/>
      <c r="F79" s="474"/>
      <c r="G79" s="477">
        <v>0</v>
      </c>
      <c r="H79" s="474"/>
      <c r="I79" s="485">
        <v>0</v>
      </c>
      <c r="J79" s="474"/>
      <c r="K79" s="474">
        <v>0</v>
      </c>
      <c r="L79" s="474"/>
      <c r="M79" s="474">
        <v>0</v>
      </c>
      <c r="N79" s="474"/>
      <c r="O79" s="476"/>
      <c r="P79" s="477"/>
      <c r="Q79" s="477">
        <v>0</v>
      </c>
      <c r="R79" s="477"/>
      <c r="S79" s="477">
        <v>0</v>
      </c>
      <c r="T79" s="477"/>
      <c r="U79" s="477"/>
      <c r="V79" s="477"/>
      <c r="W79" s="477">
        <v>0</v>
      </c>
      <c r="X79" s="477"/>
      <c r="Y79" s="477"/>
      <c r="Z79" s="477"/>
      <c r="AA79" s="477">
        <v>0</v>
      </c>
      <c r="AB79" s="477"/>
      <c r="AC79" s="476">
        <f t="shared" si="10"/>
        <v>526</v>
      </c>
      <c r="AD79" s="601"/>
      <c r="AE79" s="476">
        <f t="shared" si="11"/>
        <v>526</v>
      </c>
      <c r="AF79" s="476">
        <f t="shared" si="12"/>
        <v>0</v>
      </c>
      <c r="AG79" s="537">
        <f t="shared" si="13"/>
        <v>0</v>
      </c>
      <c r="AH79" s="474">
        <f t="shared" si="9"/>
        <v>526</v>
      </c>
      <c r="AI79" s="591"/>
    </row>
    <row r="80" spans="1:35" s="538" customFormat="1" x14ac:dyDescent="0.45">
      <c r="A80" s="694" t="s">
        <v>370</v>
      </c>
      <c r="B80" s="474">
        <v>284703.65999999922</v>
      </c>
      <c r="C80" s="484"/>
      <c r="D80" s="485">
        <v>178362.12</v>
      </c>
      <c r="E80" s="485">
        <v>183126.79</v>
      </c>
      <c r="F80" s="485">
        <v>183126.79</v>
      </c>
      <c r="G80" s="490">
        <v>178923.27</v>
      </c>
      <c r="H80" s="485">
        <v>178923.27</v>
      </c>
      <c r="I80" s="485">
        <v>186243.25</v>
      </c>
      <c r="J80" s="485"/>
      <c r="K80" s="485">
        <v>184075.21</v>
      </c>
      <c r="L80" s="485">
        <f>186243.25+184075.21</f>
        <v>370318.45999999996</v>
      </c>
      <c r="M80" s="485">
        <v>184795.06</v>
      </c>
      <c r="N80" s="485">
        <v>184795.06</v>
      </c>
      <c r="O80" s="476">
        <v>182011.86</v>
      </c>
      <c r="P80" s="477">
        <v>182011.86</v>
      </c>
      <c r="Q80" s="477">
        <v>185443.03</v>
      </c>
      <c r="R80" s="477">
        <v>185443.03</v>
      </c>
      <c r="S80" s="477">
        <v>183640.77</v>
      </c>
      <c r="T80" s="477"/>
      <c r="U80" s="477">
        <v>173961.99</v>
      </c>
      <c r="V80" s="477">
        <f>183640.77+173961.99+193800</f>
        <v>551402.76</v>
      </c>
      <c r="W80" s="477">
        <v>171211.69</v>
      </c>
      <c r="X80" s="477">
        <v>171211.69</v>
      </c>
      <c r="Y80" s="477">
        <v>185341.62</v>
      </c>
      <c r="Z80" s="477">
        <v>308365.09999999998</v>
      </c>
      <c r="AA80" s="477">
        <v>178702.02</v>
      </c>
      <c r="AB80" s="477"/>
      <c r="AC80" s="476">
        <f t="shared" si="10"/>
        <v>-31779.92000000077</v>
      </c>
      <c r="AD80" s="601"/>
      <c r="AE80" s="476">
        <f t="shared" si="11"/>
        <v>284703.65999999922</v>
      </c>
      <c r="AF80" s="476">
        <f t="shared" si="12"/>
        <v>2177476.56</v>
      </c>
      <c r="AG80" s="537">
        <f t="shared" si="13"/>
        <v>2493960.14</v>
      </c>
      <c r="AH80" s="474">
        <f t="shared" si="9"/>
        <v>-31779.920000000857</v>
      </c>
      <c r="AI80" s="591"/>
    </row>
    <row r="81" spans="1:35" s="538" customFormat="1" x14ac:dyDescent="0.45">
      <c r="A81" s="694" t="s">
        <v>371</v>
      </c>
      <c r="B81" s="474">
        <v>-208586.86000000007</v>
      </c>
      <c r="C81" s="484"/>
      <c r="D81" s="485"/>
      <c r="E81" s="485">
        <v>629.87</v>
      </c>
      <c r="F81" s="485"/>
      <c r="G81" s="490">
        <v>0</v>
      </c>
      <c r="H81" s="485"/>
      <c r="I81" s="485">
        <v>0</v>
      </c>
      <c r="J81" s="485"/>
      <c r="K81" s="485">
        <v>0</v>
      </c>
      <c r="L81" s="485"/>
      <c r="M81" s="485">
        <v>0</v>
      </c>
      <c r="N81" s="485"/>
      <c r="O81" s="476"/>
      <c r="P81" s="477"/>
      <c r="Q81" s="477">
        <v>0</v>
      </c>
      <c r="R81" s="477"/>
      <c r="S81" s="477">
        <v>0</v>
      </c>
      <c r="T81" s="477"/>
      <c r="U81" s="477"/>
      <c r="V81" s="477"/>
      <c r="W81" s="477">
        <v>0</v>
      </c>
      <c r="X81" s="477"/>
      <c r="Y81" s="477"/>
      <c r="Z81" s="477"/>
      <c r="AA81" s="477"/>
      <c r="AB81" s="477"/>
      <c r="AC81" s="476">
        <f t="shared" si="10"/>
        <v>-207956.99000000008</v>
      </c>
      <c r="AD81" s="601"/>
      <c r="AE81" s="476">
        <f t="shared" si="11"/>
        <v>-208586.86000000007</v>
      </c>
      <c r="AF81" s="476">
        <f t="shared" si="12"/>
        <v>629.87</v>
      </c>
      <c r="AG81" s="537">
        <f t="shared" si="13"/>
        <v>0</v>
      </c>
      <c r="AH81" s="474">
        <f t="shared" si="9"/>
        <v>-207956.99000000008</v>
      </c>
      <c r="AI81" s="591"/>
    </row>
    <row r="82" spans="1:35" s="538" customFormat="1" x14ac:dyDescent="0.45">
      <c r="A82" s="694" t="s">
        <v>435</v>
      </c>
      <c r="B82" s="474">
        <v>-39944.120000000003</v>
      </c>
      <c r="C82" s="484"/>
      <c r="D82" s="485"/>
      <c r="E82" s="485"/>
      <c r="F82" s="485"/>
      <c r="G82" s="490">
        <v>0</v>
      </c>
      <c r="H82" s="485"/>
      <c r="I82" s="485">
        <v>0</v>
      </c>
      <c r="J82" s="485"/>
      <c r="K82" s="485">
        <v>0</v>
      </c>
      <c r="L82" s="485"/>
      <c r="M82" s="485">
        <v>0</v>
      </c>
      <c r="N82" s="485"/>
      <c r="O82" s="476"/>
      <c r="P82" s="477"/>
      <c r="Q82" s="477">
        <v>0</v>
      </c>
      <c r="R82" s="477"/>
      <c r="S82" s="477">
        <v>0</v>
      </c>
      <c r="T82" s="477"/>
      <c r="U82" s="477"/>
      <c r="V82" s="477"/>
      <c r="W82" s="477">
        <v>0</v>
      </c>
      <c r="X82" s="477"/>
      <c r="Y82" s="477"/>
      <c r="Z82" s="477"/>
      <c r="AA82" s="477">
        <v>0</v>
      </c>
      <c r="AB82" s="477"/>
      <c r="AC82" s="476">
        <f t="shared" si="10"/>
        <v>-39944.120000000003</v>
      </c>
      <c r="AD82" s="601"/>
      <c r="AE82" s="476">
        <f t="shared" si="11"/>
        <v>-39944.120000000003</v>
      </c>
      <c r="AF82" s="476">
        <f t="shared" si="12"/>
        <v>0</v>
      </c>
      <c r="AG82" s="537">
        <f t="shared" si="13"/>
        <v>0</v>
      </c>
      <c r="AH82" s="474">
        <f t="shared" si="9"/>
        <v>-39944.120000000003</v>
      </c>
      <c r="AI82" s="591"/>
    </row>
    <row r="83" spans="1:35" s="538" customFormat="1" x14ac:dyDescent="0.45">
      <c r="A83" s="694" t="s">
        <v>438</v>
      </c>
      <c r="B83" s="474">
        <v>-1120862.76</v>
      </c>
      <c r="C83" s="484"/>
      <c r="D83" s="485"/>
      <c r="E83" s="485"/>
      <c r="F83" s="485"/>
      <c r="G83" s="490">
        <v>0</v>
      </c>
      <c r="H83" s="485"/>
      <c r="I83" s="485">
        <v>0</v>
      </c>
      <c r="J83" s="485"/>
      <c r="K83" s="485">
        <v>0</v>
      </c>
      <c r="L83" s="485"/>
      <c r="M83" s="485">
        <v>0</v>
      </c>
      <c r="N83" s="485"/>
      <c r="O83" s="476"/>
      <c r="P83" s="477"/>
      <c r="Q83" s="477">
        <v>0</v>
      </c>
      <c r="R83" s="477"/>
      <c r="S83" s="477">
        <v>0</v>
      </c>
      <c r="T83" s="477"/>
      <c r="U83" s="477"/>
      <c r="V83" s="477"/>
      <c r="W83" s="477">
        <v>0</v>
      </c>
      <c r="X83" s="477"/>
      <c r="Y83" s="477"/>
      <c r="Z83" s="477"/>
      <c r="AA83" s="477">
        <v>0</v>
      </c>
      <c r="AB83" s="477"/>
      <c r="AC83" s="476">
        <f t="shared" si="10"/>
        <v>-1120862.76</v>
      </c>
      <c r="AD83" s="601"/>
      <c r="AE83" s="476">
        <f t="shared" si="11"/>
        <v>-1120862.76</v>
      </c>
      <c r="AF83" s="476">
        <f t="shared" si="12"/>
        <v>0</v>
      </c>
      <c r="AG83" s="537">
        <f t="shared" si="13"/>
        <v>0</v>
      </c>
      <c r="AH83" s="474">
        <f t="shared" si="9"/>
        <v>-1120862.76</v>
      </c>
      <c r="AI83" s="591"/>
    </row>
    <row r="84" spans="1:35" s="538" customFormat="1" x14ac:dyDescent="0.45">
      <c r="A84" s="694" t="s">
        <v>439</v>
      </c>
      <c r="B84" s="474">
        <v>-21803.759999999998</v>
      </c>
      <c r="C84" s="484"/>
      <c r="D84" s="485"/>
      <c r="E84" s="485"/>
      <c r="F84" s="485"/>
      <c r="G84" s="490">
        <v>0</v>
      </c>
      <c r="H84" s="485"/>
      <c r="I84" s="485">
        <v>0</v>
      </c>
      <c r="J84" s="485"/>
      <c r="K84" s="485">
        <v>0</v>
      </c>
      <c r="L84" s="485"/>
      <c r="M84" s="485">
        <v>0</v>
      </c>
      <c r="N84" s="485"/>
      <c r="O84" s="476"/>
      <c r="P84" s="477"/>
      <c r="Q84" s="477">
        <v>0</v>
      </c>
      <c r="R84" s="477"/>
      <c r="S84" s="477">
        <v>0</v>
      </c>
      <c r="T84" s="477"/>
      <c r="U84" s="477"/>
      <c r="V84" s="477"/>
      <c r="W84" s="477">
        <v>0</v>
      </c>
      <c r="X84" s="477"/>
      <c r="Y84" s="477"/>
      <c r="Z84" s="477"/>
      <c r="AA84" s="477">
        <v>0</v>
      </c>
      <c r="AB84" s="477"/>
      <c r="AC84" s="476">
        <f t="shared" si="10"/>
        <v>-21803.759999999998</v>
      </c>
      <c r="AD84" s="601"/>
      <c r="AE84" s="476">
        <f t="shared" si="11"/>
        <v>-21803.759999999998</v>
      </c>
      <c r="AF84" s="476">
        <f t="shared" si="12"/>
        <v>0</v>
      </c>
      <c r="AG84" s="537">
        <f t="shared" si="13"/>
        <v>0</v>
      </c>
      <c r="AH84" s="474">
        <f t="shared" si="9"/>
        <v>-21803.759999999998</v>
      </c>
      <c r="AI84" s="591"/>
    </row>
    <row r="85" spans="1:35" s="538" customFormat="1" x14ac:dyDescent="0.45">
      <c r="A85" s="694" t="s">
        <v>343</v>
      </c>
      <c r="B85" s="474">
        <v>383650.5500000001</v>
      </c>
      <c r="C85" s="484"/>
      <c r="D85" s="485"/>
      <c r="E85" s="485">
        <v>112373.1</v>
      </c>
      <c r="F85" s="485"/>
      <c r="G85" s="490">
        <v>68154.820000000007</v>
      </c>
      <c r="H85" s="485">
        <f>154129.28+210202.04</f>
        <v>364331.32</v>
      </c>
      <c r="I85" s="485">
        <v>31608.25</v>
      </c>
      <c r="J85" s="485">
        <v>212172.37</v>
      </c>
      <c r="K85" s="485">
        <v>31268.59</v>
      </c>
      <c r="L85" s="485">
        <v>50587.82</v>
      </c>
      <c r="M85" s="485">
        <v>30555.42</v>
      </c>
      <c r="N85" s="485">
        <v>30555.42</v>
      </c>
      <c r="O85" s="589">
        <v>33454.15</v>
      </c>
      <c r="P85" s="477"/>
      <c r="Q85" s="477">
        <v>0</v>
      </c>
      <c r="R85" s="477">
        <v>33454.15</v>
      </c>
      <c r="S85" s="477">
        <v>0</v>
      </c>
      <c r="T85" s="477"/>
      <c r="U85" s="477"/>
      <c r="V85" s="477"/>
      <c r="W85" s="477">
        <v>0</v>
      </c>
      <c r="X85" s="477"/>
      <c r="Y85" s="477"/>
      <c r="Z85" s="477"/>
      <c r="AA85" s="477">
        <v>0</v>
      </c>
      <c r="AB85" s="477"/>
      <c r="AC85" s="476">
        <f t="shared" si="10"/>
        <v>-36.199999999800639</v>
      </c>
      <c r="AD85" s="601"/>
      <c r="AE85" s="476">
        <f t="shared" si="11"/>
        <v>383650.5500000001</v>
      </c>
      <c r="AF85" s="476">
        <f t="shared" si="12"/>
        <v>307414.33</v>
      </c>
      <c r="AG85" s="537">
        <f t="shared" si="13"/>
        <v>691101.08</v>
      </c>
      <c r="AH85" s="474">
        <f t="shared" si="9"/>
        <v>-36.199999999837019</v>
      </c>
      <c r="AI85" s="591"/>
    </row>
    <row r="86" spans="1:35" s="538" customFormat="1" x14ac:dyDescent="0.45">
      <c r="A86" s="694" t="s">
        <v>463</v>
      </c>
      <c r="B86" s="474">
        <v>2509.75</v>
      </c>
      <c r="C86" s="484"/>
      <c r="D86" s="485"/>
      <c r="E86" s="485"/>
      <c r="F86" s="485"/>
      <c r="G86" s="490">
        <v>0</v>
      </c>
      <c r="H86" s="485"/>
      <c r="I86" s="474">
        <v>0</v>
      </c>
      <c r="J86" s="485"/>
      <c r="K86" s="485"/>
      <c r="L86" s="485"/>
      <c r="M86" s="485">
        <v>0</v>
      </c>
      <c r="N86" s="485"/>
      <c r="O86" s="476"/>
      <c r="P86" s="477"/>
      <c r="Q86" s="477">
        <v>0</v>
      </c>
      <c r="R86" s="477"/>
      <c r="S86" s="477">
        <v>0</v>
      </c>
      <c r="T86" s="477"/>
      <c r="U86" s="477"/>
      <c r="V86" s="477"/>
      <c r="W86" s="477">
        <v>0</v>
      </c>
      <c r="X86" s="477"/>
      <c r="Y86" s="477"/>
      <c r="Z86" s="477"/>
      <c r="AA86" s="477">
        <v>0</v>
      </c>
      <c r="AB86" s="477"/>
      <c r="AC86" s="476">
        <f t="shared" si="10"/>
        <v>2509.75</v>
      </c>
      <c r="AD86" s="601"/>
      <c r="AE86" s="476">
        <f t="shared" si="11"/>
        <v>2509.75</v>
      </c>
      <c r="AF86" s="476">
        <f t="shared" si="12"/>
        <v>0</v>
      </c>
      <c r="AG86" s="537">
        <f t="shared" si="13"/>
        <v>0</v>
      </c>
      <c r="AH86" s="474">
        <f t="shared" si="9"/>
        <v>2509.75</v>
      </c>
      <c r="AI86" s="591"/>
    </row>
    <row r="87" spans="1:35" s="538" customFormat="1" x14ac:dyDescent="0.45">
      <c r="A87" s="517" t="s">
        <v>464</v>
      </c>
      <c r="B87" s="474">
        <v>79868.539999999994</v>
      </c>
      <c r="C87" s="475"/>
      <c r="D87" s="474"/>
      <c r="E87" s="474"/>
      <c r="F87" s="474"/>
      <c r="G87" s="477">
        <v>0</v>
      </c>
      <c r="H87" s="474"/>
      <c r="I87" s="474">
        <v>0</v>
      </c>
      <c r="J87" s="474"/>
      <c r="K87" s="474"/>
      <c r="L87" s="474"/>
      <c r="M87" s="474">
        <v>32166.91</v>
      </c>
      <c r="N87" s="474">
        <v>785.35999999195337</v>
      </c>
      <c r="O87" s="474">
        <v>2665.77</v>
      </c>
      <c r="P87" s="477"/>
      <c r="Q87" s="477">
        <v>0</v>
      </c>
      <c r="R87" s="477"/>
      <c r="S87" s="477">
        <v>31274.16</v>
      </c>
      <c r="T87" s="477"/>
      <c r="U87" s="477">
        <v>3390.97</v>
      </c>
      <c r="V87" s="477"/>
      <c r="W87" s="477">
        <v>19196.66</v>
      </c>
      <c r="X87" s="477"/>
      <c r="Y87" s="477">
        <v>10962.85</v>
      </c>
      <c r="Z87" s="477"/>
      <c r="AA87" s="477">
        <v>0</v>
      </c>
      <c r="AB87" s="477"/>
      <c r="AC87" s="476">
        <f t="shared" si="10"/>
        <v>178740.50000000806</v>
      </c>
      <c r="AD87" s="601"/>
      <c r="AE87" s="476">
        <f t="shared" si="11"/>
        <v>79868.539999999994</v>
      </c>
      <c r="AF87" s="476">
        <f t="shared" si="12"/>
        <v>99657.32</v>
      </c>
      <c r="AG87" s="537">
        <f t="shared" si="13"/>
        <v>785.35999999195337</v>
      </c>
      <c r="AH87" s="474">
        <f t="shared" si="9"/>
        <v>178740.50000000803</v>
      </c>
      <c r="AI87" s="591"/>
    </row>
    <row r="88" spans="1:35" s="538" customFormat="1" x14ac:dyDescent="0.45">
      <c r="A88" s="694" t="s">
        <v>441</v>
      </c>
      <c r="B88" s="474">
        <v>-135954.03000000003</v>
      </c>
      <c r="C88" s="484"/>
      <c r="D88" s="485"/>
      <c r="E88" s="485"/>
      <c r="F88" s="485"/>
      <c r="G88" s="490">
        <v>0</v>
      </c>
      <c r="H88" s="485"/>
      <c r="I88" s="474"/>
      <c r="J88" s="485"/>
      <c r="K88" s="485"/>
      <c r="L88" s="485"/>
      <c r="M88" s="485">
        <v>0</v>
      </c>
      <c r="N88" s="485"/>
      <c r="O88" s="485"/>
      <c r="P88" s="490"/>
      <c r="Q88" s="490"/>
      <c r="R88" s="490"/>
      <c r="S88" s="490">
        <v>0</v>
      </c>
      <c r="T88" s="490"/>
      <c r="U88" s="490"/>
      <c r="V88" s="490"/>
      <c r="W88" s="490">
        <v>0</v>
      </c>
      <c r="X88" s="490"/>
      <c r="Y88" s="477"/>
      <c r="Z88" s="490"/>
      <c r="AA88" s="490">
        <v>0</v>
      </c>
      <c r="AB88" s="490"/>
      <c r="AC88" s="476">
        <f t="shared" si="10"/>
        <v>-135954.03000000003</v>
      </c>
      <c r="AD88" s="601"/>
      <c r="AE88" s="476">
        <f t="shared" si="11"/>
        <v>-135954.03000000003</v>
      </c>
      <c r="AF88" s="476">
        <f t="shared" si="12"/>
        <v>0</v>
      </c>
      <c r="AG88" s="537">
        <f t="shared" si="13"/>
        <v>0</v>
      </c>
      <c r="AH88" s="474">
        <f>AC88</f>
        <v>-135954.03000000003</v>
      </c>
      <c r="AI88" s="591"/>
    </row>
    <row r="89" spans="1:35" s="538" customFormat="1" x14ac:dyDescent="0.45">
      <c r="A89" s="694" t="s">
        <v>480</v>
      </c>
      <c r="B89" s="485"/>
      <c r="C89" s="484"/>
      <c r="D89" s="485"/>
      <c r="E89" s="485"/>
      <c r="F89" s="485"/>
      <c r="G89" s="490"/>
      <c r="H89" s="485"/>
      <c r="I89" s="474"/>
      <c r="J89" s="485"/>
      <c r="K89" s="485"/>
      <c r="L89" s="485"/>
      <c r="M89" s="485"/>
      <c r="N89" s="485"/>
      <c r="O89" s="485"/>
      <c r="P89" s="490"/>
      <c r="Q89" s="490"/>
      <c r="R89" s="490"/>
      <c r="S89" s="490"/>
      <c r="T89" s="490"/>
      <c r="U89" s="490"/>
      <c r="V89" s="490"/>
      <c r="W89" s="490"/>
      <c r="X89" s="490"/>
      <c r="Y89" s="477">
        <v>2390.59</v>
      </c>
      <c r="Z89" s="490"/>
      <c r="AA89" s="490">
        <v>26860.06</v>
      </c>
      <c r="AB89" s="490"/>
      <c r="AC89" s="476">
        <f t="shared" si="10"/>
        <v>29250.65</v>
      </c>
      <c r="AD89" s="602"/>
      <c r="AE89" s="488"/>
      <c r="AF89" s="476">
        <f t="shared" si="12"/>
        <v>29250.65</v>
      </c>
      <c r="AG89" s="537">
        <f t="shared" si="13"/>
        <v>0</v>
      </c>
      <c r="AH89" s="474">
        <f>AC89</f>
        <v>29250.65</v>
      </c>
      <c r="AI89" s="591"/>
    </row>
    <row r="90" spans="1:35" s="538" customFormat="1" x14ac:dyDescent="0.45">
      <c r="A90" s="694" t="s">
        <v>481</v>
      </c>
      <c r="B90" s="485"/>
      <c r="C90" s="484"/>
      <c r="D90" s="485"/>
      <c r="E90" s="485"/>
      <c r="F90" s="485"/>
      <c r="G90" s="490"/>
      <c r="H90" s="485"/>
      <c r="I90" s="474"/>
      <c r="J90" s="485"/>
      <c r="K90" s="485"/>
      <c r="L90" s="485"/>
      <c r="M90" s="485"/>
      <c r="N90" s="485"/>
      <c r="O90" s="485"/>
      <c r="P90" s="490"/>
      <c r="Q90" s="490"/>
      <c r="R90" s="490"/>
      <c r="S90" s="490"/>
      <c r="T90" s="490"/>
      <c r="U90" s="490"/>
      <c r="V90" s="490"/>
      <c r="W90" s="490"/>
      <c r="X90" s="490"/>
      <c r="Y90" s="575">
        <v>30486.35</v>
      </c>
      <c r="Z90" s="490"/>
      <c r="AA90" s="490">
        <v>75079.490000000005</v>
      </c>
      <c r="AB90" s="490"/>
      <c r="AC90" s="476">
        <f t="shared" si="10"/>
        <v>105565.84</v>
      </c>
      <c r="AD90" s="602"/>
      <c r="AE90" s="488"/>
      <c r="AF90" s="476">
        <f t="shared" si="12"/>
        <v>105565.84</v>
      </c>
      <c r="AG90" s="537">
        <f t="shared" si="13"/>
        <v>0</v>
      </c>
      <c r="AH90" s="474">
        <f>AC90</f>
        <v>105565.84</v>
      </c>
      <c r="AI90" s="591"/>
    </row>
    <row r="91" spans="1:35" s="538" customFormat="1" x14ac:dyDescent="0.45">
      <c r="A91" s="694" t="s">
        <v>465</v>
      </c>
      <c r="B91" s="485">
        <v>30474.28</v>
      </c>
      <c r="C91" s="484"/>
      <c r="D91" s="485"/>
      <c r="E91" s="485"/>
      <c r="F91" s="485"/>
      <c r="G91" s="490">
        <v>0</v>
      </c>
      <c r="H91" s="485"/>
      <c r="I91" s="474">
        <v>0</v>
      </c>
      <c r="J91" s="485"/>
      <c r="K91" s="485"/>
      <c r="L91" s="485"/>
      <c r="M91" s="485">
        <v>0</v>
      </c>
      <c r="N91" s="485"/>
      <c r="O91" s="485"/>
      <c r="P91" s="490"/>
      <c r="Q91" s="490"/>
      <c r="R91" s="490"/>
      <c r="S91" s="490">
        <v>0</v>
      </c>
      <c r="T91" s="490"/>
      <c r="U91" s="490"/>
      <c r="V91" s="490"/>
      <c r="W91" s="490">
        <v>0</v>
      </c>
      <c r="X91" s="490"/>
      <c r="Y91" s="490"/>
      <c r="Z91" s="490"/>
      <c r="AA91" s="490">
        <v>0</v>
      </c>
      <c r="AB91" s="490"/>
      <c r="AC91" s="476">
        <f t="shared" si="10"/>
        <v>30474.28</v>
      </c>
      <c r="AD91" s="602"/>
      <c r="AE91" s="488">
        <f>B91</f>
        <v>30474.28</v>
      </c>
      <c r="AF91" s="476">
        <f t="shared" si="12"/>
        <v>0</v>
      </c>
      <c r="AG91" s="537">
        <f t="shared" si="13"/>
        <v>0</v>
      </c>
      <c r="AH91" s="474">
        <f t="shared" si="9"/>
        <v>30474.28</v>
      </c>
      <c r="AI91" s="591"/>
    </row>
    <row r="92" spans="1:35" s="538" customFormat="1" x14ac:dyDescent="0.45">
      <c r="A92" s="694" t="s">
        <v>482</v>
      </c>
      <c r="B92" s="485"/>
      <c r="C92" s="484"/>
      <c r="D92" s="485"/>
      <c r="E92" s="485">
        <v>69097.52</v>
      </c>
      <c r="F92" s="485"/>
      <c r="G92" s="490">
        <v>25937.11</v>
      </c>
      <c r="H92" s="485">
        <v>95034.63</v>
      </c>
      <c r="I92" s="487">
        <v>26449.919999999998</v>
      </c>
      <c r="J92" s="485">
        <f>20950+5499.92</f>
        <v>26449.919999999998</v>
      </c>
      <c r="K92" s="485">
        <v>28223.260000000002</v>
      </c>
      <c r="L92" s="485"/>
      <c r="M92" s="485">
        <v>26329.47</v>
      </c>
      <c r="N92" s="485">
        <v>54552.729999999996</v>
      </c>
      <c r="O92" s="485">
        <v>25158.78</v>
      </c>
      <c r="P92" s="490">
        <f>25158.78</f>
        <v>25158.78</v>
      </c>
      <c r="Q92" s="490">
        <v>27364.84</v>
      </c>
      <c r="R92" s="490">
        <v>27364.84</v>
      </c>
      <c r="S92" s="490">
        <v>29057.18</v>
      </c>
      <c r="T92" s="490">
        <f>20950</f>
        <v>20950</v>
      </c>
      <c r="U92" s="490">
        <v>28942.13</v>
      </c>
      <c r="V92" s="490">
        <f>8107.18+28942.13</f>
        <v>37049.31</v>
      </c>
      <c r="W92" s="490">
        <v>24477.94</v>
      </c>
      <c r="X92" s="490">
        <f>20950+3527.94</f>
        <v>24477.94</v>
      </c>
      <c r="Y92" s="490">
        <v>29266.5</v>
      </c>
      <c r="Z92" s="490">
        <v>29266.5</v>
      </c>
      <c r="AA92" s="490">
        <v>26702.41</v>
      </c>
      <c r="AB92" s="490"/>
      <c r="AC92" s="476">
        <f t="shared" si="10"/>
        <v>26702.410000000014</v>
      </c>
      <c r="AD92" s="602"/>
      <c r="AE92" s="488"/>
      <c r="AF92" s="476">
        <f t="shared" si="12"/>
        <v>367007.05999999994</v>
      </c>
      <c r="AG92" s="537">
        <f t="shared" si="13"/>
        <v>340304.64999999997</v>
      </c>
      <c r="AH92" s="474">
        <f t="shared" si="9"/>
        <v>26702.409999999974</v>
      </c>
      <c r="AI92" s="591"/>
    </row>
    <row r="93" spans="1:35" s="538" customFormat="1" x14ac:dyDescent="0.45">
      <c r="A93" s="694" t="s">
        <v>483</v>
      </c>
      <c r="B93" s="485"/>
      <c r="C93" s="484"/>
      <c r="D93" s="485"/>
      <c r="E93" s="485"/>
      <c r="F93" s="485"/>
      <c r="G93" s="490"/>
      <c r="H93" s="485"/>
      <c r="I93" s="487"/>
      <c r="J93" s="485"/>
      <c r="K93" s="485">
        <v>1132.95</v>
      </c>
      <c r="L93" s="485"/>
      <c r="M93" s="485">
        <v>2048.9</v>
      </c>
      <c r="N93" s="485"/>
      <c r="O93" s="485">
        <v>1404.81</v>
      </c>
      <c r="P93" s="490"/>
      <c r="Q93" s="490">
        <v>1717.55</v>
      </c>
      <c r="R93" s="490"/>
      <c r="S93" s="490">
        <v>0</v>
      </c>
      <c r="T93" s="490"/>
      <c r="U93" s="490"/>
      <c r="V93" s="490"/>
      <c r="W93" s="490">
        <v>6477.6100000000006</v>
      </c>
      <c r="X93" s="490"/>
      <c r="Y93" s="490"/>
      <c r="Z93" s="490"/>
      <c r="AA93" s="490">
        <v>0</v>
      </c>
      <c r="AB93" s="490"/>
      <c r="AC93" s="476">
        <f t="shared" si="10"/>
        <v>12781.82</v>
      </c>
      <c r="AD93" s="602"/>
      <c r="AE93" s="488"/>
      <c r="AF93" s="476">
        <f t="shared" si="12"/>
        <v>12781.82</v>
      </c>
      <c r="AG93" s="537">
        <f t="shared" si="13"/>
        <v>0</v>
      </c>
      <c r="AH93" s="474">
        <f t="shared" si="9"/>
        <v>12781.82</v>
      </c>
      <c r="AI93" s="591"/>
    </row>
    <row r="94" spans="1:35" s="538" customFormat="1" x14ac:dyDescent="0.45">
      <c r="A94" s="517" t="s">
        <v>466</v>
      </c>
      <c r="B94" s="474">
        <v>5699.92</v>
      </c>
      <c r="C94" s="475"/>
      <c r="D94" s="474"/>
      <c r="E94" s="474">
        <v>10197.450000000001</v>
      </c>
      <c r="F94" s="474"/>
      <c r="G94" s="477">
        <v>25257.24</v>
      </c>
      <c r="H94" s="474"/>
      <c r="I94" s="474">
        <v>46395.789999999994</v>
      </c>
      <c r="J94" s="474"/>
      <c r="K94" s="474"/>
      <c r="L94" s="474"/>
      <c r="M94" s="474">
        <v>14582.11</v>
      </c>
      <c r="N94" s="474"/>
      <c r="O94" s="474">
        <v>397</v>
      </c>
      <c r="P94" s="477"/>
      <c r="Q94" s="477">
        <v>2789.12</v>
      </c>
      <c r="R94" s="477"/>
      <c r="S94" s="477">
        <v>0</v>
      </c>
      <c r="T94" s="477"/>
      <c r="U94" s="477"/>
      <c r="V94" s="477"/>
      <c r="W94" s="477">
        <v>7769.9599999999991</v>
      </c>
      <c r="X94" s="477"/>
      <c r="Y94" s="477"/>
      <c r="Z94" s="477"/>
      <c r="AA94" s="477">
        <v>0</v>
      </c>
      <c r="AB94" s="477"/>
      <c r="AC94" s="476">
        <f t="shared" si="10"/>
        <v>113088.59</v>
      </c>
      <c r="AD94" s="601"/>
      <c r="AE94" s="474">
        <f>B94</f>
        <v>5699.92</v>
      </c>
      <c r="AF94" s="476">
        <f t="shared" si="12"/>
        <v>107388.66999999998</v>
      </c>
      <c r="AG94" s="537">
        <f t="shared" si="13"/>
        <v>0</v>
      </c>
      <c r="AH94" s="474">
        <f t="shared" si="9"/>
        <v>113088.58999999998</v>
      </c>
      <c r="AI94" s="591"/>
    </row>
    <row r="95" spans="1:35" s="538" customFormat="1" x14ac:dyDescent="0.45">
      <c r="A95" s="694" t="s">
        <v>484</v>
      </c>
      <c r="B95" s="485"/>
      <c r="C95" s="484"/>
      <c r="D95" s="485"/>
      <c r="E95" s="485"/>
      <c r="F95" s="485"/>
      <c r="G95" s="490"/>
      <c r="H95" s="485"/>
      <c r="I95" s="485"/>
      <c r="J95" s="485"/>
      <c r="K95" s="485"/>
      <c r="L95" s="485"/>
      <c r="M95" s="485">
        <v>7666.09</v>
      </c>
      <c r="N95" s="485"/>
      <c r="O95" s="485">
        <v>7186.95</v>
      </c>
      <c r="P95" s="490">
        <v>7666.09</v>
      </c>
      <c r="Q95" s="490">
        <v>7426.52</v>
      </c>
      <c r="R95" s="490"/>
      <c r="S95" s="490">
        <v>7186.95</v>
      </c>
      <c r="T95" s="490">
        <v>7426.52</v>
      </c>
      <c r="U95" s="490">
        <v>8161.9800000000005</v>
      </c>
      <c r="V95" s="490"/>
      <c r="W95" s="490"/>
      <c r="X95" s="490">
        <v>22535.88</v>
      </c>
      <c r="Y95" s="490"/>
      <c r="Z95" s="490"/>
      <c r="AA95" s="490">
        <v>0</v>
      </c>
      <c r="AB95" s="490"/>
      <c r="AC95" s="476">
        <f t="shared" si="10"/>
        <v>0</v>
      </c>
      <c r="AD95" s="602"/>
      <c r="AE95" s="485"/>
      <c r="AF95" s="476">
        <f t="shared" si="12"/>
        <v>37628.490000000005</v>
      </c>
      <c r="AG95" s="537">
        <f t="shared" si="13"/>
        <v>37628.490000000005</v>
      </c>
      <c r="AH95" s="474">
        <f t="shared" si="9"/>
        <v>0</v>
      </c>
      <c r="AI95" s="591"/>
    </row>
    <row r="96" spans="1:35" s="538" customFormat="1" x14ac:dyDescent="0.45">
      <c r="A96" s="694" t="s">
        <v>485</v>
      </c>
      <c r="B96" s="485"/>
      <c r="C96" s="484"/>
      <c r="D96" s="485"/>
      <c r="E96" s="485"/>
      <c r="F96" s="485"/>
      <c r="G96" s="490"/>
      <c r="H96" s="485"/>
      <c r="I96" s="485"/>
      <c r="J96" s="485"/>
      <c r="K96" s="485"/>
      <c r="L96" s="485"/>
      <c r="M96" s="485"/>
      <c r="N96" s="485"/>
      <c r="O96" s="485">
        <v>117053.64</v>
      </c>
      <c r="P96" s="490"/>
      <c r="Q96" s="490">
        <v>198998.67</v>
      </c>
      <c r="R96" s="490">
        <f>117053.64+198998.67</f>
        <v>316052.31</v>
      </c>
      <c r="S96" s="490">
        <v>211415.86000000002</v>
      </c>
      <c r="T96" s="490"/>
      <c r="U96" s="490">
        <v>209940.47</v>
      </c>
      <c r="V96" s="490">
        <f>211415.86</f>
        <v>211415.86</v>
      </c>
      <c r="W96" s="490">
        <v>192343.82</v>
      </c>
      <c r="X96" s="490">
        <f>209940.47+192343.82</f>
        <v>402284.29000000004</v>
      </c>
      <c r="Y96" s="575">
        <v>197331.78999999998</v>
      </c>
      <c r="Z96" s="490">
        <v>197331.79</v>
      </c>
      <c r="AA96" s="490">
        <v>221558.45</v>
      </c>
      <c r="AB96" s="490"/>
      <c r="AC96" s="476">
        <f t="shared" si="10"/>
        <v>221558.44999999998</v>
      </c>
      <c r="AD96" s="602"/>
      <c r="AE96" s="485"/>
      <c r="AF96" s="476">
        <f t="shared" si="12"/>
        <v>1348642.7</v>
      </c>
      <c r="AG96" s="537">
        <f t="shared" si="13"/>
        <v>1127084.25</v>
      </c>
      <c r="AH96" s="474">
        <f t="shared" si="9"/>
        <v>221558.44999999995</v>
      </c>
      <c r="AI96" s="591"/>
    </row>
    <row r="97" spans="1:35" s="538" customFormat="1" x14ac:dyDescent="0.45">
      <c r="A97" s="694" t="s">
        <v>486</v>
      </c>
      <c r="B97" s="485"/>
      <c r="C97" s="484"/>
      <c r="D97" s="485"/>
      <c r="E97" s="485"/>
      <c r="F97" s="485"/>
      <c r="G97" s="490"/>
      <c r="H97" s="485"/>
      <c r="I97" s="485"/>
      <c r="J97" s="485"/>
      <c r="K97" s="485"/>
      <c r="L97" s="485"/>
      <c r="M97" s="485"/>
      <c r="N97" s="485"/>
      <c r="O97" s="485"/>
      <c r="P97" s="490"/>
      <c r="Q97" s="490"/>
      <c r="R97" s="490"/>
      <c r="S97" s="490"/>
      <c r="T97" s="490"/>
      <c r="U97" s="490">
        <v>3042.0299999999997</v>
      </c>
      <c r="V97" s="490"/>
      <c r="W97" s="490"/>
      <c r="X97" s="490"/>
      <c r="Y97" s="490">
        <v>110204.43000000001</v>
      </c>
      <c r="Z97" s="490"/>
      <c r="AA97" s="490">
        <v>138199.84</v>
      </c>
      <c r="AB97" s="490"/>
      <c r="AC97" s="476">
        <f t="shared" si="10"/>
        <v>251446.3</v>
      </c>
      <c r="AD97" s="602"/>
      <c r="AE97" s="485"/>
      <c r="AF97" s="476">
        <f t="shared" si="12"/>
        <v>251446.3</v>
      </c>
      <c r="AG97" s="537">
        <f t="shared" si="13"/>
        <v>0</v>
      </c>
      <c r="AH97" s="474">
        <f t="shared" si="9"/>
        <v>251446.3</v>
      </c>
      <c r="AI97" s="591"/>
    </row>
    <row r="98" spans="1:35" s="538" customFormat="1" ht="19" thickBot="1" x14ac:dyDescent="0.5">
      <c r="A98" s="694" t="s">
        <v>487</v>
      </c>
      <c r="B98" s="485"/>
      <c r="C98" s="484"/>
      <c r="D98" s="485"/>
      <c r="E98" s="485"/>
      <c r="F98" s="485"/>
      <c r="G98" s="490">
        <v>849.86</v>
      </c>
      <c r="H98" s="485"/>
      <c r="I98" s="485">
        <v>98.5</v>
      </c>
      <c r="J98" s="485"/>
      <c r="K98" s="485">
        <v>16925.54</v>
      </c>
      <c r="L98" s="485"/>
      <c r="M98" s="485">
        <v>0</v>
      </c>
      <c r="N98" s="485"/>
      <c r="O98" s="485"/>
      <c r="P98" s="490"/>
      <c r="Q98" s="490"/>
      <c r="R98" s="490"/>
      <c r="S98" s="590"/>
      <c r="T98" s="490"/>
      <c r="U98" s="490"/>
      <c r="V98" s="490"/>
      <c r="W98" s="490"/>
      <c r="X98" s="490"/>
      <c r="Y98" s="490"/>
      <c r="Z98" s="490"/>
      <c r="AA98" s="490">
        <v>0</v>
      </c>
      <c r="AB98" s="490"/>
      <c r="AC98" s="488">
        <f t="shared" si="10"/>
        <v>17873.900000000001</v>
      </c>
      <c r="AD98" s="602"/>
      <c r="AE98" s="485"/>
      <c r="AF98" s="476">
        <f t="shared" si="12"/>
        <v>17873.900000000001</v>
      </c>
      <c r="AG98" s="537">
        <f t="shared" si="13"/>
        <v>0</v>
      </c>
      <c r="AH98" s="474">
        <f t="shared" si="9"/>
        <v>17873.900000000001</v>
      </c>
      <c r="AI98" s="591"/>
    </row>
    <row r="99" spans="1:35" ht="19" thickBot="1" x14ac:dyDescent="0.5">
      <c r="A99" s="695" t="s">
        <v>6</v>
      </c>
      <c r="B99" s="492">
        <f>SUM(B6:B98)</f>
        <v>248020567.45189998</v>
      </c>
      <c r="C99" s="493">
        <f>SUM(C6:C94)</f>
        <v>0</v>
      </c>
      <c r="D99" s="494">
        <f>SUM(D6:D94)</f>
        <v>71548389.62000002</v>
      </c>
      <c r="E99" s="494">
        <f>SUM(E6:E94)</f>
        <v>65837131.109999992</v>
      </c>
      <c r="F99" s="495">
        <f>SUM(F6:F87)</f>
        <v>62266131.579999991</v>
      </c>
      <c r="G99" s="498">
        <f>SUM(G6:G98)</f>
        <v>68649729.399999991</v>
      </c>
      <c r="H99" s="496">
        <f>SUM(H6:H98)</f>
        <v>71914078.479999974</v>
      </c>
      <c r="I99" s="495">
        <f>SUM(I6:I98)</f>
        <v>74214437.590000018</v>
      </c>
      <c r="J99" s="492">
        <f>SUM(J6:J94)</f>
        <v>71846934.290000007</v>
      </c>
      <c r="K99" s="492">
        <f>SUM(K6:K94)</f>
        <v>69047134.550000012</v>
      </c>
      <c r="L99" s="496">
        <f>SUM(L6:L94)</f>
        <v>71018059.489999995</v>
      </c>
      <c r="M99" s="494">
        <f>SUM(M6:M98)</f>
        <v>73660634.900000006</v>
      </c>
      <c r="N99" s="494">
        <f>SUM(N6:N94)</f>
        <v>55809789.799999997</v>
      </c>
      <c r="O99" s="497">
        <f>SUM(O6:O98)</f>
        <v>73087578.550000012</v>
      </c>
      <c r="P99" s="498">
        <f>SUM(P6:P98)</f>
        <v>89779366.62999998</v>
      </c>
      <c r="Q99" s="499">
        <f>SUM(Q6:Q98)</f>
        <v>63622958.550000019</v>
      </c>
      <c r="R99" s="498">
        <f>SUM(R6:R98)</f>
        <v>51384309.079999998</v>
      </c>
      <c r="S99" s="499">
        <f>SUM(S6:S98)</f>
        <v>73379493.780000031</v>
      </c>
      <c r="T99" s="498">
        <f>SUM(T5:T98)</f>
        <v>102171093.47999994</v>
      </c>
      <c r="U99" s="499">
        <f t="shared" ref="U99:Z99" si="14">SUM(U6:U98)</f>
        <v>66723216.529999964</v>
      </c>
      <c r="V99" s="498">
        <f t="shared" si="14"/>
        <v>44198437.940000005</v>
      </c>
      <c r="W99" s="507">
        <f t="shared" si="14"/>
        <v>63342444.060000002</v>
      </c>
      <c r="X99" s="498">
        <f t="shared" si="14"/>
        <v>54226307.019999996</v>
      </c>
      <c r="Y99" s="499">
        <f t="shared" si="14"/>
        <v>67760480.800000012</v>
      </c>
      <c r="Z99" s="498">
        <f t="shared" si="14"/>
        <v>118887434.63999997</v>
      </c>
      <c r="AA99" s="594">
        <v>72624714.350000009</v>
      </c>
      <c r="AB99" s="526">
        <f>SUM(AB6:AB94)</f>
        <v>0</v>
      </c>
      <c r="AC99" s="564">
        <f>SUM(AC6:AC98)</f>
        <v>214937115.11190009</v>
      </c>
      <c r="AD99" s="603"/>
      <c r="AE99" s="492">
        <f>SUM(AE6:AE94)</f>
        <v>248020567.45189998</v>
      </c>
      <c r="AF99" s="492">
        <f>SUM(AF6:AF98)</f>
        <v>831966879.71000016</v>
      </c>
      <c r="AG99" s="498">
        <f>SUM(AG6:AG98)</f>
        <v>865050332.05000019</v>
      </c>
      <c r="AH99" s="577">
        <f>SUM(AH6:AH98)</f>
        <v>214937115.11190012</v>
      </c>
      <c r="AI99" s="682"/>
    </row>
    <row r="100" spans="1:35" x14ac:dyDescent="0.45">
      <c r="A100" s="696"/>
      <c r="B100" s="552"/>
      <c r="C100" s="688"/>
      <c r="J100" s="578"/>
      <c r="O100" s="460">
        <v>-1047916.5</v>
      </c>
      <c r="P100" s="501"/>
      <c r="Q100" s="502"/>
      <c r="R100" s="501"/>
      <c r="S100" s="501"/>
      <c r="T100" s="501"/>
      <c r="U100" s="501"/>
      <c r="V100" s="501"/>
      <c r="W100" s="501"/>
      <c r="X100" s="509"/>
      <c r="Y100" s="501"/>
      <c r="Z100" s="501"/>
      <c r="AA100" s="509"/>
      <c r="AB100" s="509"/>
      <c r="AC100" s="473"/>
      <c r="AD100" s="473"/>
      <c r="AI100" s="682"/>
    </row>
    <row r="101" spans="1:35" x14ac:dyDescent="0.45">
      <c r="A101" s="698" t="s">
        <v>317</v>
      </c>
      <c r="B101" s="458"/>
      <c r="C101" s="458"/>
      <c r="D101" s="572"/>
      <c r="E101" s="460">
        <v>400635.78</v>
      </c>
      <c r="G101" s="461">
        <v>389973.87</v>
      </c>
      <c r="I101" s="460">
        <v>542226.39999999991</v>
      </c>
      <c r="K101" s="460">
        <v>537634.03</v>
      </c>
      <c r="M101" s="460">
        <v>583265.88000000012</v>
      </c>
      <c r="O101" s="500">
        <v>550956.89</v>
      </c>
      <c r="P101" s="501"/>
      <c r="Q101" s="501">
        <v>554088.14</v>
      </c>
      <c r="R101" s="501"/>
      <c r="S101" s="461">
        <v>527155.1</v>
      </c>
      <c r="T101" s="501"/>
      <c r="U101" s="501">
        <v>444246.24</v>
      </c>
      <c r="V101" s="501">
        <f>V99-44198437.94</f>
        <v>0</v>
      </c>
      <c r="W101" s="501">
        <v>271730.14999999997</v>
      </c>
      <c r="X101" s="501"/>
      <c r="Y101" s="501">
        <v>478284.87</v>
      </c>
      <c r="Z101" s="501"/>
      <c r="AA101" s="501">
        <v>389697.96</v>
      </c>
      <c r="AB101" s="501"/>
      <c r="AC101" s="696"/>
      <c r="AD101" s="696"/>
      <c r="AE101" s="696"/>
      <c r="AF101" s="696"/>
      <c r="AG101" s="501"/>
      <c r="AH101" s="696"/>
      <c r="AI101" s="682"/>
    </row>
    <row r="102" spans="1:35" x14ac:dyDescent="0.45">
      <c r="A102" s="698" t="s">
        <v>318</v>
      </c>
      <c r="B102" s="504"/>
      <c r="C102" s="504"/>
      <c r="D102" s="505"/>
      <c r="E102" s="505">
        <f>E99+E101</f>
        <v>66237766.889999993</v>
      </c>
      <c r="F102" s="505"/>
      <c r="G102" s="541">
        <f>G99+G101</f>
        <v>69039703.269999996</v>
      </c>
      <c r="H102" s="505"/>
      <c r="I102" s="505">
        <f>I99+I101</f>
        <v>74756663.990000024</v>
      </c>
      <c r="J102" s="573"/>
      <c r="K102" s="505">
        <f>K99+K101</f>
        <v>69584768.580000013</v>
      </c>
      <c r="L102" s="505"/>
      <c r="M102" s="505">
        <f>M99+M101</f>
        <v>74243900.780000001</v>
      </c>
      <c r="N102" s="505"/>
      <c r="O102" s="505">
        <v>72590618.940000013</v>
      </c>
      <c r="P102" s="501"/>
      <c r="Q102" s="509">
        <f>Q99+Q101</f>
        <v>64177046.69000002</v>
      </c>
      <c r="R102" s="501"/>
      <c r="S102" s="504">
        <f>S99+S101</f>
        <v>73906648.880000025</v>
      </c>
      <c r="T102" s="501"/>
      <c r="U102" s="509">
        <f>U99+U101</f>
        <v>67167462.769999966</v>
      </c>
      <c r="V102" s="501"/>
      <c r="W102" s="509">
        <f>W99+W101</f>
        <v>63614174.210000001</v>
      </c>
      <c r="X102" s="501"/>
      <c r="Y102" s="509">
        <f>Y99+Y101</f>
        <v>68238765.670000017</v>
      </c>
      <c r="Z102" s="509"/>
      <c r="AA102" s="509">
        <v>73014412.310000002</v>
      </c>
      <c r="AB102" s="509"/>
      <c r="AC102" s="508"/>
      <c r="AD102" s="508"/>
      <c r="AE102" s="508"/>
      <c r="AF102" s="508"/>
      <c r="AG102" s="501"/>
      <c r="AH102" s="508"/>
      <c r="AI102" s="682"/>
    </row>
    <row r="103" spans="1:35" x14ac:dyDescent="0.45">
      <c r="A103" s="688"/>
      <c r="B103" s="500"/>
      <c r="C103" s="688"/>
      <c r="L103" s="580"/>
      <c r="Q103" s="502"/>
      <c r="R103" s="501"/>
      <c r="S103" s="501"/>
      <c r="T103" s="501"/>
      <c r="U103" s="501"/>
      <c r="V103" s="501"/>
      <c r="W103" s="501"/>
      <c r="Y103" s="501"/>
      <c r="Z103" s="501"/>
      <c r="AA103" s="501"/>
      <c r="AB103" s="501"/>
      <c r="AC103" s="699"/>
      <c r="AD103" s="699"/>
      <c r="AE103" s="473"/>
      <c r="AF103" s="473"/>
      <c r="AG103" s="501"/>
      <c r="AH103" s="473"/>
      <c r="AI103" s="682"/>
    </row>
    <row r="104" spans="1:35" x14ac:dyDescent="0.45">
      <c r="A104" s="688"/>
      <c r="B104" s="688"/>
      <c r="C104" s="688"/>
      <c r="Q104" s="461"/>
      <c r="Y104" s="592"/>
      <c r="Z104" s="501"/>
      <c r="AA104" s="501"/>
      <c r="AB104" s="501"/>
      <c r="AC104" s="473"/>
      <c r="AD104" s="473"/>
      <c r="AE104" s="473"/>
      <c r="AF104" s="473"/>
      <c r="AG104" s="501"/>
      <c r="AH104" s="473"/>
      <c r="AI104" s="682"/>
    </row>
    <row r="105" spans="1:35" x14ac:dyDescent="0.45">
      <c r="A105" s="688"/>
      <c r="B105" s="500"/>
      <c r="C105" s="688"/>
      <c r="Q105" s="458"/>
      <c r="Y105" s="501"/>
      <c r="Z105" s="501"/>
      <c r="AA105" s="501"/>
      <c r="AB105" s="501"/>
      <c r="AC105" s="473"/>
      <c r="AD105" s="473"/>
      <c r="AE105" s="473"/>
      <c r="AF105" s="473"/>
      <c r="AG105" s="501"/>
      <c r="AH105" s="473"/>
      <c r="AI105" s="682"/>
    </row>
    <row r="106" spans="1:35" x14ac:dyDescent="0.45">
      <c r="A106" s="688"/>
      <c r="B106" s="688"/>
      <c r="C106" s="688"/>
      <c r="Q106" s="688"/>
      <c r="Y106" s="501"/>
      <c r="Z106" s="501"/>
      <c r="AA106" s="501"/>
      <c r="AB106" s="501"/>
      <c r="AC106" s="473"/>
      <c r="AD106" s="473"/>
      <c r="AE106" s="473"/>
      <c r="AF106" s="473"/>
      <c r="AG106" s="501"/>
      <c r="AH106" s="473"/>
      <c r="AI106" s="682"/>
    </row>
    <row r="107" spans="1:35" x14ac:dyDescent="0.45">
      <c r="A107" s="688"/>
      <c r="B107" s="688"/>
      <c r="C107" s="688"/>
      <c r="Q107" s="688"/>
      <c r="Y107" s="501"/>
      <c r="Z107" s="501"/>
      <c r="AA107" s="501"/>
      <c r="AB107" s="501"/>
      <c r="AC107" s="473"/>
      <c r="AD107" s="473"/>
      <c r="AE107" s="473"/>
      <c r="AF107" s="473"/>
      <c r="AG107" s="501"/>
      <c r="AH107" s="473"/>
      <c r="AI107" s="682"/>
    </row>
  </sheetData>
  <mergeCells count="1">
    <mergeCell ref="A1:A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T119"/>
  <sheetViews>
    <sheetView topLeftCell="J72" workbookViewId="0">
      <selection activeCell="AL77" sqref="AL77"/>
    </sheetView>
  </sheetViews>
  <sheetFormatPr defaultRowHeight="18.5" x14ac:dyDescent="0.45"/>
  <cols>
    <col min="1" max="1" width="83.08984375" style="459" customWidth="1"/>
    <col min="2" max="2" width="28" style="459" customWidth="1"/>
    <col min="3" max="3" width="23.36328125" style="459" customWidth="1"/>
    <col min="4" max="4" width="24.90625" style="460" customWidth="1"/>
    <col min="5" max="5" width="24" style="460" customWidth="1"/>
    <col min="6" max="6" width="23" style="460" customWidth="1"/>
    <col min="7" max="7" width="27.08984375" style="461" customWidth="1"/>
    <col min="8" max="8" width="24.36328125" style="460" customWidth="1"/>
    <col min="9" max="9" width="20.6328125" style="460" customWidth="1"/>
    <col min="10" max="10" width="21.6328125" style="460" customWidth="1"/>
    <col min="11" max="11" width="24.453125" style="460" customWidth="1"/>
    <col min="12" max="12" width="32.453125" style="460" customWidth="1"/>
    <col min="13" max="13" width="24.36328125" style="460" customWidth="1"/>
    <col min="14" max="14" width="22" style="460" customWidth="1"/>
    <col min="15" max="15" width="23.54296875" style="460" customWidth="1"/>
    <col min="16" max="16" width="24" style="461" customWidth="1"/>
    <col min="17" max="17" width="21.54296875" style="459" customWidth="1"/>
    <col min="18" max="20" width="32.453125" style="461" customWidth="1"/>
    <col min="21" max="21" width="25.36328125" style="461" customWidth="1"/>
    <col min="22" max="22" width="24.54296875" style="461" customWidth="1"/>
    <col min="23" max="23" width="25.36328125" style="461" customWidth="1"/>
    <col min="24" max="24" width="32.453125" style="461" customWidth="1"/>
    <col min="25" max="25" width="24.6328125" style="461" customWidth="1"/>
    <col min="26" max="26" width="25.54296875" style="461" customWidth="1"/>
    <col min="27" max="27" width="31.08984375" style="461" customWidth="1"/>
    <col min="28" max="32" width="8.984375E-2" style="461" customWidth="1"/>
    <col min="33" max="33" width="25.90625" style="460" customWidth="1"/>
    <col min="34" max="34" width="27.08984375" style="460" customWidth="1"/>
    <col min="35" max="36" width="28" style="460" customWidth="1"/>
    <col min="37" max="37" width="30" style="460" customWidth="1"/>
    <col min="38" max="38" width="21" style="461" customWidth="1"/>
    <col min="39" max="39" width="20.54296875" style="460" customWidth="1"/>
    <col min="40" max="40" width="21" style="327" customWidth="1"/>
    <col min="41" max="42" width="10.36328125" bestFit="1" customWidth="1"/>
  </cols>
  <sheetData>
    <row r="1" spans="1:40" x14ac:dyDescent="0.45">
      <c r="A1" s="1036" t="s">
        <v>0</v>
      </c>
      <c r="B1" s="458"/>
      <c r="C1" s="688"/>
      <c r="Q1" s="688"/>
    </row>
    <row r="2" spans="1:40" ht="19" thickBot="1" x14ac:dyDescent="0.5">
      <c r="A2" s="1037"/>
      <c r="B2" s="688"/>
      <c r="C2" s="458"/>
      <c r="Q2" s="688"/>
      <c r="AI2" s="571"/>
      <c r="AJ2" s="571"/>
    </row>
    <row r="3" spans="1:40" ht="42" customHeight="1" thickBot="1" x14ac:dyDescent="0.4">
      <c r="A3" s="685">
        <v>43921</v>
      </c>
      <c r="B3" s="464" t="s">
        <v>293</v>
      </c>
      <c r="C3" s="464"/>
      <c r="D3" s="464" t="s">
        <v>3</v>
      </c>
      <c r="E3" s="464" t="s">
        <v>5</v>
      </c>
      <c r="F3" s="464" t="s">
        <v>3</v>
      </c>
      <c r="G3" s="465" t="s">
        <v>5</v>
      </c>
      <c r="H3" s="464" t="s">
        <v>3</v>
      </c>
      <c r="I3" s="464" t="s">
        <v>5</v>
      </c>
      <c r="J3" s="464" t="s">
        <v>3</v>
      </c>
      <c r="K3" s="464" t="s">
        <v>5</v>
      </c>
      <c r="L3" s="464" t="s">
        <v>3</v>
      </c>
      <c r="M3" s="464" t="s">
        <v>5</v>
      </c>
      <c r="N3" s="464" t="s">
        <v>3</v>
      </c>
      <c r="O3" s="464" t="s">
        <v>5</v>
      </c>
      <c r="P3" s="465" t="s">
        <v>3</v>
      </c>
      <c r="Q3" s="464" t="s">
        <v>5</v>
      </c>
      <c r="R3" s="465" t="s">
        <v>181</v>
      </c>
      <c r="S3" s="465" t="s">
        <v>5</v>
      </c>
      <c r="T3" s="465" t="s">
        <v>181</v>
      </c>
      <c r="U3" s="465" t="s">
        <v>5</v>
      </c>
      <c r="V3" s="465" t="s">
        <v>181</v>
      </c>
      <c r="W3" s="465" t="s">
        <v>5</v>
      </c>
      <c r="X3" s="465" t="s">
        <v>181</v>
      </c>
      <c r="Y3" s="465" t="s">
        <v>5</v>
      </c>
      <c r="Z3" s="465" t="s">
        <v>181</v>
      </c>
      <c r="AA3" s="465" t="s">
        <v>5</v>
      </c>
      <c r="AB3" s="523" t="s">
        <v>5</v>
      </c>
      <c r="AC3" s="604"/>
      <c r="AD3" s="604"/>
      <c r="AE3" s="604"/>
      <c r="AF3" s="604"/>
      <c r="AG3" s="466" t="s">
        <v>6</v>
      </c>
      <c r="AH3" s="598"/>
      <c r="AI3" s="518" t="s">
        <v>293</v>
      </c>
      <c r="AJ3" s="543" t="s">
        <v>443</v>
      </c>
      <c r="AK3" s="518" t="s">
        <v>318</v>
      </c>
      <c r="AL3" s="595" t="s">
        <v>376</v>
      </c>
      <c r="AM3" s="518" t="s">
        <v>360</v>
      </c>
    </row>
    <row r="4" spans="1:40" ht="40.25" customHeight="1" thickBot="1" x14ac:dyDescent="0.5">
      <c r="A4" s="687"/>
      <c r="B4" s="467" t="s">
        <v>213</v>
      </c>
      <c r="C4" s="467" t="s">
        <v>443</v>
      </c>
      <c r="D4" s="467" t="s">
        <v>488</v>
      </c>
      <c r="E4" s="468" t="s">
        <v>488</v>
      </c>
      <c r="F4" s="468" t="s">
        <v>489</v>
      </c>
      <c r="G4" s="524" t="s">
        <v>489</v>
      </c>
      <c r="H4" s="468" t="s">
        <v>490</v>
      </c>
      <c r="I4" s="468" t="s">
        <v>490</v>
      </c>
      <c r="J4" s="469" t="s">
        <v>491</v>
      </c>
      <c r="K4" s="469" t="s">
        <v>491</v>
      </c>
      <c r="L4" s="469" t="s">
        <v>492</v>
      </c>
      <c r="M4" s="469" t="s">
        <v>492</v>
      </c>
      <c r="N4" s="469" t="s">
        <v>493</v>
      </c>
      <c r="O4" s="469" t="s">
        <v>493</v>
      </c>
      <c r="P4" s="470" t="s">
        <v>494</v>
      </c>
      <c r="Q4" s="469" t="s">
        <v>494</v>
      </c>
      <c r="R4" s="470" t="s">
        <v>495</v>
      </c>
      <c r="S4" s="470" t="s">
        <v>495</v>
      </c>
      <c r="T4" s="470" t="s">
        <v>496</v>
      </c>
      <c r="U4" s="470" t="s">
        <v>496</v>
      </c>
      <c r="V4" s="470" t="s">
        <v>497</v>
      </c>
      <c r="W4" s="470" t="s">
        <v>497</v>
      </c>
      <c r="X4" s="470" t="s">
        <v>498</v>
      </c>
      <c r="Y4" s="470" t="s">
        <v>498</v>
      </c>
      <c r="Z4" s="470" t="s">
        <v>499</v>
      </c>
      <c r="AA4" s="470" t="s">
        <v>499</v>
      </c>
      <c r="AB4" s="524" t="s">
        <v>479</v>
      </c>
      <c r="AC4" s="605"/>
      <c r="AD4" s="605"/>
      <c r="AE4" s="605"/>
      <c r="AF4" s="605"/>
      <c r="AG4" s="471"/>
      <c r="AH4" s="599"/>
      <c r="AI4" s="544" t="s">
        <v>213</v>
      </c>
      <c r="AJ4" s="544"/>
      <c r="AK4" s="471"/>
      <c r="AL4" s="536"/>
      <c r="AM4" s="576"/>
    </row>
    <row r="5" spans="1:40" x14ac:dyDescent="0.45">
      <c r="A5" s="688"/>
      <c r="B5" s="688"/>
      <c r="C5" s="688"/>
      <c r="O5" s="473"/>
      <c r="Q5" s="688"/>
      <c r="AB5" s="525"/>
      <c r="AC5" s="501"/>
      <c r="AD5" s="501"/>
      <c r="AE5" s="501"/>
      <c r="AF5" s="501"/>
      <c r="AG5" s="473"/>
      <c r="AH5" s="600"/>
      <c r="AI5" s="473"/>
      <c r="AJ5" s="473"/>
      <c r="AK5" s="473"/>
      <c r="AL5" s="501"/>
      <c r="AM5" s="473"/>
    </row>
    <row r="6" spans="1:40" x14ac:dyDescent="0.45">
      <c r="A6" s="689" t="s">
        <v>25</v>
      </c>
      <c r="B6" s="474">
        <v>4923538.3999999985</v>
      </c>
      <c r="C6" s="475"/>
      <c r="D6" s="474"/>
      <c r="E6" s="474">
        <v>5873192.3899999997</v>
      </c>
      <c r="F6" s="474">
        <v>4923538.41</v>
      </c>
      <c r="G6" s="477">
        <v>5533875.1900000004</v>
      </c>
      <c r="H6" s="474"/>
      <c r="I6" s="474">
        <v>6353117.3499999996</v>
      </c>
      <c r="J6" s="474">
        <v>11407067.58</v>
      </c>
      <c r="K6" s="474">
        <v>6832389.5800000001</v>
      </c>
      <c r="L6" s="474">
        <f>6353117.35+6832389.58</f>
        <v>13185506.93</v>
      </c>
      <c r="M6" s="474">
        <v>7259053.7400000002</v>
      </c>
      <c r="N6" s="474"/>
      <c r="O6" s="476">
        <v>7142179.6200000001</v>
      </c>
      <c r="P6" s="477">
        <f>7259053.74+7142179.62</f>
        <v>14401233.359999999</v>
      </c>
      <c r="Q6" s="477">
        <v>6479852.9199999999</v>
      </c>
      <c r="R6" s="477">
        <v>6479852.9199999999</v>
      </c>
      <c r="S6" s="477">
        <v>7196610.1000000006</v>
      </c>
      <c r="T6" s="477">
        <v>7196610.0999999996</v>
      </c>
      <c r="U6" s="477">
        <v>7169861.7799999993</v>
      </c>
      <c r="V6" s="477"/>
      <c r="W6" s="477">
        <v>7061968.3100000005</v>
      </c>
      <c r="X6" s="477"/>
      <c r="Y6" s="477">
        <v>7155603.6399999997</v>
      </c>
      <c r="Z6" s="477"/>
      <c r="AA6" s="477">
        <v>6902359.3200000003</v>
      </c>
      <c r="AB6" s="477"/>
      <c r="AC6" s="537"/>
      <c r="AD6" s="537"/>
      <c r="AE6" s="537"/>
      <c r="AF6" s="537"/>
      <c r="AG6" s="476">
        <f t="shared" ref="AG6:AG37" si="0">B6-C6-D6+E6-F6+G6-H6+I6-J6+K6-L6+M6-N6+O6-P6+Q6-R6+S6-T6+U6-V6+W6-X6+Y6-Z6+AA6</f>
        <v>28289793.040000003</v>
      </c>
      <c r="AH6" s="601"/>
      <c r="AI6" s="476">
        <v>4923538.3999999985</v>
      </c>
      <c r="AJ6" s="476"/>
      <c r="AK6" s="476">
        <f t="shared" ref="AK6:AK37" si="1">E6+G6+I6+K6+M6+O6+Q6+S6+U6+W6+Y6+AA6</f>
        <v>80960063.939999998</v>
      </c>
      <c r="AL6" s="537">
        <f t="shared" ref="AL6:AL37" si="2">D6+F6+H6+J6+L6+N6+P6+R6+T6+V6+X6+Z6</f>
        <v>57593809.300000004</v>
      </c>
      <c r="AM6" s="474">
        <f>AI6-AJ6+AK6-AL6</f>
        <v>28289793.039999999</v>
      </c>
      <c r="AN6" s="327">
        <f>C6-AJ6</f>
        <v>0</v>
      </c>
    </row>
    <row r="7" spans="1:40" s="538" customFormat="1" x14ac:dyDescent="0.45">
      <c r="A7" s="689" t="s">
        <v>24</v>
      </c>
      <c r="B7" s="474">
        <v>135929.74400000274</v>
      </c>
      <c r="C7" s="475"/>
      <c r="D7" s="474">
        <v>400228.5</v>
      </c>
      <c r="E7" s="474">
        <v>1991952.86</v>
      </c>
      <c r="F7" s="474">
        <v>1342756.9899999998</v>
      </c>
      <c r="G7" s="477">
        <v>1909932.63</v>
      </c>
      <c r="H7" s="474">
        <v>2122864.77</v>
      </c>
      <c r="I7" s="474">
        <v>1665832.17</v>
      </c>
      <c r="J7" s="474">
        <f>846278.94+85195.67+15026.31+96425.39+676153.43+463389.88+78314.14+672467.21</f>
        <v>2933250.97</v>
      </c>
      <c r="K7" s="575">
        <v>1494408.24</v>
      </c>
      <c r="L7" s="474">
        <f>10918.52+509489.25+368147.79+125720.4+298488.46+243162.21</f>
        <v>1555926.6300000001</v>
      </c>
      <c r="M7" s="474">
        <v>1726935.63</v>
      </c>
      <c r="N7" s="474">
        <f>128551.19+11518.58+555441.38+602795.3</f>
        <v>1298306.4500000002</v>
      </c>
      <c r="O7" s="476">
        <v>1500370.1900000002</v>
      </c>
      <c r="P7" s="477">
        <v>2409413.23</v>
      </c>
      <c r="Q7" s="477">
        <v>1315379.81</v>
      </c>
      <c r="R7" s="477">
        <f>196326.16+629760.21+422422.54</f>
        <v>1248508.9099999999</v>
      </c>
      <c r="S7" s="477">
        <v>1420004.5</v>
      </c>
      <c r="T7" s="477">
        <v>324161.21999999997</v>
      </c>
      <c r="U7" s="477">
        <v>1582897.0899999999</v>
      </c>
      <c r="V7" s="477">
        <v>1235310.6299999999</v>
      </c>
      <c r="W7" s="477">
        <v>1358182.4999999998</v>
      </c>
      <c r="X7" s="477">
        <f>693079.99+272511.93+93702.41+137870.08+245371.22+184967.2</f>
        <v>1627502.8299999998</v>
      </c>
      <c r="Y7" s="477">
        <v>1050603.05</v>
      </c>
      <c r="Z7" s="477">
        <v>2220878.5199999996</v>
      </c>
      <c r="AA7" s="477">
        <v>1078034.42</v>
      </c>
      <c r="AB7" s="477"/>
      <c r="AC7" s="537"/>
      <c r="AD7" s="537"/>
      <c r="AE7" s="537"/>
      <c r="AF7" s="537"/>
      <c r="AG7" s="476">
        <f t="shared" si="0"/>
        <v>-488646.81599999731</v>
      </c>
      <c r="AH7" s="601"/>
      <c r="AI7" s="476">
        <v>135929.74400000274</v>
      </c>
      <c r="AJ7" s="476"/>
      <c r="AK7" s="476">
        <f t="shared" si="1"/>
        <v>18094533.090000004</v>
      </c>
      <c r="AL7" s="537">
        <f t="shared" si="2"/>
        <v>18719109.649999999</v>
      </c>
      <c r="AM7" s="474">
        <f t="shared" ref="AM7:AM70" si="3">AI7-AJ7+AK7-AL7</f>
        <v>-488646.81599999219</v>
      </c>
      <c r="AN7" s="327">
        <f t="shared" ref="AN7:AN70" si="4">C7-AJ7</f>
        <v>0</v>
      </c>
    </row>
    <row r="8" spans="1:40" s="538" customFormat="1" x14ac:dyDescent="0.45">
      <c r="A8" s="689" t="s">
        <v>361</v>
      </c>
      <c r="B8" s="474">
        <v>111736503.55660003</v>
      </c>
      <c r="C8" s="475"/>
      <c r="D8" s="474">
        <v>13703784.41</v>
      </c>
      <c r="E8" s="474">
        <v>14676896.109999999</v>
      </c>
      <c r="F8" s="474">
        <v>13998099.380000001</v>
      </c>
      <c r="G8" s="477">
        <v>12747385.630000001</v>
      </c>
      <c r="H8" s="474"/>
      <c r="I8" s="474">
        <v>13802117.59</v>
      </c>
      <c r="J8" s="474">
        <v>27424281.739999998</v>
      </c>
      <c r="K8" s="474">
        <v>14363931.910000002</v>
      </c>
      <c r="L8" s="477">
        <f>13802117.59+19645269.93</f>
        <v>33447387.52</v>
      </c>
      <c r="M8" s="474">
        <v>14281514.07</v>
      </c>
      <c r="N8" s="474">
        <v>14363931.91</v>
      </c>
      <c r="O8" s="476">
        <v>14317232.260000002</v>
      </c>
      <c r="P8" s="477">
        <v>14281514.07</v>
      </c>
      <c r="Q8" s="477">
        <v>13047759.450000003</v>
      </c>
      <c r="R8" s="477">
        <f>13330210.24</f>
        <v>13330210.24</v>
      </c>
      <c r="S8" s="477">
        <v>13687350.220000001</v>
      </c>
      <c r="T8" s="477">
        <v>14034781.470000001</v>
      </c>
      <c r="U8" s="477">
        <v>13324784.619999999</v>
      </c>
      <c r="V8" s="477">
        <v>13687350.220000001</v>
      </c>
      <c r="W8" s="477">
        <v>12739213.309999999</v>
      </c>
      <c r="X8" s="477">
        <f>13324784.62</f>
        <v>13324784.619999999</v>
      </c>
      <c r="Y8" s="477">
        <v>13966882.999999998</v>
      </c>
      <c r="Z8" s="477">
        <f>12739213.31+13966883</f>
        <v>26706096.310000002</v>
      </c>
      <c r="AA8" s="477">
        <v>14213875.170000002</v>
      </c>
      <c r="AB8" s="477"/>
      <c r="AC8" s="537"/>
      <c r="AD8" s="537"/>
      <c r="AE8" s="537"/>
      <c r="AF8" s="537"/>
      <c r="AG8" s="476">
        <f t="shared" si="0"/>
        <v>78603225.006600067</v>
      </c>
      <c r="AH8" s="601"/>
      <c r="AI8" s="476">
        <v>111736503.55660003</v>
      </c>
      <c r="AJ8" s="476"/>
      <c r="AK8" s="476">
        <f t="shared" si="1"/>
        <v>165168943.34000003</v>
      </c>
      <c r="AL8" s="537">
        <f t="shared" si="2"/>
        <v>198302221.89000002</v>
      </c>
      <c r="AM8" s="474">
        <f t="shared" si="3"/>
        <v>78603225.006600052</v>
      </c>
      <c r="AN8" s="327">
        <f t="shared" si="4"/>
        <v>0</v>
      </c>
    </row>
    <row r="9" spans="1:40" s="538" customFormat="1" x14ac:dyDescent="0.45">
      <c r="A9" s="689" t="s">
        <v>362</v>
      </c>
      <c r="B9" s="474">
        <v>5834383.8999999985</v>
      </c>
      <c r="C9" s="475"/>
      <c r="D9" s="474"/>
      <c r="E9" s="474">
        <v>1687257.02</v>
      </c>
      <c r="F9" s="474"/>
      <c r="G9" s="477">
        <v>1175649.3899999999</v>
      </c>
      <c r="H9" s="474"/>
      <c r="I9" s="474">
        <v>1786334.7399999998</v>
      </c>
      <c r="J9" s="474">
        <f>3935506.46+2862906.32</f>
        <v>6798412.7799999993</v>
      </c>
      <c r="K9" s="474">
        <v>2014638.35</v>
      </c>
      <c r="L9" s="474">
        <f>1944414.33</f>
        <v>1944414.33</v>
      </c>
      <c r="M9" s="474">
        <v>2996812.0300000003</v>
      </c>
      <c r="N9" s="474">
        <v>2014638.35</v>
      </c>
      <c r="O9" s="476">
        <v>1684133.8599999999</v>
      </c>
      <c r="P9" s="477">
        <v>2996812.03</v>
      </c>
      <c r="Q9" s="477">
        <v>2330347.4</v>
      </c>
      <c r="R9" s="477">
        <f>1684133.86</f>
        <v>1684133.86</v>
      </c>
      <c r="S9" s="477">
        <v>2506498.79</v>
      </c>
      <c r="T9" s="477">
        <v>2330347.4</v>
      </c>
      <c r="U9" s="477">
        <v>1602741.69</v>
      </c>
      <c r="V9" s="477"/>
      <c r="W9" s="477">
        <v>1671623.4100000001</v>
      </c>
      <c r="X9" s="477">
        <f>1671623.41+2506498.79</f>
        <v>4178122.2</v>
      </c>
      <c r="Y9" s="477">
        <v>1597371.38</v>
      </c>
      <c r="Z9" s="477">
        <f>1602741.69+1740798.78+1597371.38</f>
        <v>4940911.8499999996</v>
      </c>
      <c r="AA9" s="477">
        <v>1623714.7200000002</v>
      </c>
      <c r="AB9" s="477"/>
      <c r="AC9" s="537"/>
      <c r="AD9" s="537"/>
      <c r="AE9" s="537"/>
      <c r="AF9" s="537"/>
      <c r="AG9" s="476">
        <f t="shared" si="0"/>
        <v>1623713.8799999985</v>
      </c>
      <c r="AH9" s="601"/>
      <c r="AI9" s="476">
        <v>5834383.8999999985</v>
      </c>
      <c r="AJ9" s="476"/>
      <c r="AK9" s="476">
        <f t="shared" si="1"/>
        <v>22677122.780000001</v>
      </c>
      <c r="AL9" s="537">
        <f t="shared" si="2"/>
        <v>26887792.799999997</v>
      </c>
      <c r="AM9" s="474">
        <f t="shared" si="3"/>
        <v>1623713.8800000027</v>
      </c>
      <c r="AN9" s="327">
        <f t="shared" si="4"/>
        <v>0</v>
      </c>
    </row>
    <row r="10" spans="1:40" s="538" customFormat="1" x14ac:dyDescent="0.45">
      <c r="A10" s="689" t="s">
        <v>31</v>
      </c>
      <c r="B10" s="474">
        <v>4817480.6900000051</v>
      </c>
      <c r="C10" s="475"/>
      <c r="D10" s="474">
        <v>4307103.29</v>
      </c>
      <c r="E10" s="474">
        <v>4773160.01</v>
      </c>
      <c r="F10" s="474"/>
      <c r="G10" s="477">
        <v>8583829.5600000005</v>
      </c>
      <c r="H10" s="474">
        <v>198445.15000000002</v>
      </c>
      <c r="I10" s="474">
        <v>1379565.8299999994</v>
      </c>
      <c r="J10" s="474">
        <f>4352777.08+5030998.92</f>
        <v>9383776</v>
      </c>
      <c r="K10" s="575">
        <v>6381850.8599999994</v>
      </c>
      <c r="L10" s="474">
        <f>5824689.13+6464199.81</f>
        <v>12288888.939999999</v>
      </c>
      <c r="M10" s="474">
        <v>6431282.9800000004</v>
      </c>
      <c r="N10" s="474">
        <f>104658.78</f>
        <v>104658.78</v>
      </c>
      <c r="O10" s="476">
        <v>6155275.8200000003</v>
      </c>
      <c r="P10" s="477">
        <v>12462413.699999999</v>
      </c>
      <c r="Q10" s="477">
        <v>5842989.3799999999</v>
      </c>
      <c r="R10" s="477">
        <f>261874.28+5750623.77</f>
        <v>6012498.0499999998</v>
      </c>
      <c r="S10" s="477">
        <v>5997161.7999999998</v>
      </c>
      <c r="T10" s="477">
        <v>6079618.46</v>
      </c>
      <c r="U10" s="477">
        <v>5842899.9300000006</v>
      </c>
      <c r="V10" s="477"/>
      <c r="W10" s="477">
        <v>5235619.03</v>
      </c>
      <c r="X10" s="477">
        <f>5824575.76+4957688.91</f>
        <v>10782264.67</v>
      </c>
      <c r="Y10" s="477">
        <v>6181111.9900000002</v>
      </c>
      <c r="Z10" s="477">
        <f>6453242.07</f>
        <v>6453242.0700000003</v>
      </c>
      <c r="AA10" s="477">
        <v>5990849.2000000002</v>
      </c>
      <c r="AB10" s="477"/>
      <c r="AC10" s="537"/>
      <c r="AD10" s="537"/>
      <c r="AE10" s="537"/>
      <c r="AF10" s="537"/>
      <c r="AG10" s="476">
        <f t="shared" si="0"/>
        <v>5540167.9700000091</v>
      </c>
      <c r="AH10" s="601"/>
      <c r="AI10" s="476">
        <v>4817480.6900000051</v>
      </c>
      <c r="AJ10" s="476"/>
      <c r="AK10" s="476">
        <f t="shared" si="1"/>
        <v>68795596.390000001</v>
      </c>
      <c r="AL10" s="537">
        <f t="shared" si="2"/>
        <v>68072909.109999999</v>
      </c>
      <c r="AM10" s="474">
        <f t="shared" si="3"/>
        <v>5540167.9700000137</v>
      </c>
      <c r="AN10" s="327">
        <f t="shared" si="4"/>
        <v>0</v>
      </c>
    </row>
    <row r="11" spans="1:40" s="538" customFormat="1" x14ac:dyDescent="0.45">
      <c r="A11" s="689" t="s">
        <v>189</v>
      </c>
      <c r="B11" s="474">
        <v>-2348.8999999994412</v>
      </c>
      <c r="C11" s="475"/>
      <c r="D11" s="474"/>
      <c r="E11" s="474">
        <v>0</v>
      </c>
      <c r="F11" s="474"/>
      <c r="G11" s="477">
        <v>0</v>
      </c>
      <c r="H11" s="474"/>
      <c r="I11" s="474">
        <v>0</v>
      </c>
      <c r="J11" s="474"/>
      <c r="K11" s="474">
        <v>0</v>
      </c>
      <c r="L11" s="474"/>
      <c r="M11" s="474">
        <v>0</v>
      </c>
      <c r="N11" s="474"/>
      <c r="O11" s="476">
        <v>0</v>
      </c>
      <c r="P11" s="477"/>
      <c r="Q11" s="477">
        <v>0</v>
      </c>
      <c r="R11" s="477"/>
      <c r="S11" s="477">
        <v>0</v>
      </c>
      <c r="T11" s="477"/>
      <c r="U11" s="477"/>
      <c r="V11" s="477"/>
      <c r="W11" s="477">
        <v>0</v>
      </c>
      <c r="X11" s="477"/>
      <c r="Y11" s="477">
        <v>0</v>
      </c>
      <c r="Z11" s="477"/>
      <c r="AA11" s="477">
        <v>0</v>
      </c>
      <c r="AB11" s="477"/>
      <c r="AC11" s="537"/>
      <c r="AD11" s="537"/>
      <c r="AE11" s="537"/>
      <c r="AF11" s="537"/>
      <c r="AG11" s="476">
        <f t="shared" si="0"/>
        <v>-2348.8999999994412</v>
      </c>
      <c r="AH11" s="601"/>
      <c r="AI11" s="476">
        <v>-2348.8999999994412</v>
      </c>
      <c r="AJ11" s="476"/>
      <c r="AK11" s="476">
        <f t="shared" si="1"/>
        <v>0</v>
      </c>
      <c r="AL11" s="537">
        <f t="shared" si="2"/>
        <v>0</v>
      </c>
      <c r="AM11" s="474">
        <f t="shared" si="3"/>
        <v>-2348.8999999994412</v>
      </c>
      <c r="AN11" s="327">
        <f t="shared" si="4"/>
        <v>0</v>
      </c>
    </row>
    <row r="12" spans="1:40" s="538" customFormat="1" x14ac:dyDescent="0.45">
      <c r="A12" s="691" t="s">
        <v>363</v>
      </c>
      <c r="B12" s="609">
        <v>2504864.7400000244</v>
      </c>
      <c r="C12" s="610"/>
      <c r="D12" s="609"/>
      <c r="E12" s="611">
        <v>6425354.7800000003</v>
      </c>
      <c r="F12" s="609">
        <v>2466125.29</v>
      </c>
      <c r="G12" s="611">
        <v>5947486.6500000013</v>
      </c>
      <c r="H12" s="609">
        <v>12411580.879999999</v>
      </c>
      <c r="I12" s="609">
        <v>6066134.0600000005</v>
      </c>
      <c r="J12" s="609"/>
      <c r="K12" s="609">
        <v>6274083.6799999997</v>
      </c>
      <c r="L12" s="609">
        <f>6066134.06+6274083.68</f>
        <v>12340217.739999998</v>
      </c>
      <c r="M12" s="609">
        <v>6550356.9600000009</v>
      </c>
      <c r="N12" s="609">
        <v>6550356.9600000009</v>
      </c>
      <c r="O12" s="612">
        <v>6577115.9500000002</v>
      </c>
      <c r="P12" s="611"/>
      <c r="Q12" s="611">
        <v>6374577.3100000005</v>
      </c>
      <c r="R12" s="611">
        <f>6577115.95+6374577.31</f>
        <v>12951693.26</v>
      </c>
      <c r="S12" s="611">
        <v>6554637.540000001</v>
      </c>
      <c r="T12" s="611">
        <v>6554637.54</v>
      </c>
      <c r="U12" s="611">
        <v>6245771.2999999998</v>
      </c>
      <c r="V12" s="611"/>
      <c r="W12" s="614">
        <v>5670526.1800000006</v>
      </c>
      <c r="X12" s="611">
        <f>6245771.3+5670526.16</f>
        <v>11916297.460000001</v>
      </c>
      <c r="Y12" s="611">
        <v>7293027.6399999997</v>
      </c>
      <c r="Z12" s="611">
        <v>12672916.960000001</v>
      </c>
      <c r="AA12" s="611">
        <v>6979791.1000000006</v>
      </c>
      <c r="AB12" s="611"/>
      <c r="AC12" s="613"/>
      <c r="AD12" s="613"/>
      <c r="AE12" s="613"/>
      <c r="AF12" s="613"/>
      <c r="AG12" s="612">
        <f t="shared" si="0"/>
        <v>1599901.8000000324</v>
      </c>
      <c r="AH12" s="601"/>
      <c r="AI12" s="476">
        <v>2504864.7400000244</v>
      </c>
      <c r="AJ12" s="476"/>
      <c r="AK12" s="476">
        <f t="shared" si="1"/>
        <v>76958863.149999991</v>
      </c>
      <c r="AL12" s="537">
        <f t="shared" si="2"/>
        <v>77863826.090000004</v>
      </c>
      <c r="AM12" s="474">
        <f t="shared" si="3"/>
        <v>1599901.8000000119</v>
      </c>
      <c r="AN12" s="327">
        <f t="shared" si="4"/>
        <v>0</v>
      </c>
    </row>
    <row r="13" spans="1:40" s="538" customFormat="1" x14ac:dyDescent="0.45">
      <c r="A13" s="691" t="s">
        <v>364</v>
      </c>
      <c r="B13" s="609">
        <v>5429928.4100000188</v>
      </c>
      <c r="C13" s="610">
        <v>1847084.23</v>
      </c>
      <c r="D13" s="609">
        <v>3295088.34</v>
      </c>
      <c r="E13" s="609">
        <v>3304258.44</v>
      </c>
      <c r="F13" s="609"/>
      <c r="G13" s="611">
        <v>3209352.1</v>
      </c>
      <c r="H13" s="609">
        <v>3304258.44</v>
      </c>
      <c r="I13" s="609">
        <v>3273406.03</v>
      </c>
      <c r="J13" s="609">
        <f>3209352.1+96355.52+3273406.03+48913.6</f>
        <v>6628027.25</v>
      </c>
      <c r="K13" s="609">
        <v>3220387.69</v>
      </c>
      <c r="L13" s="609">
        <f>49267.8+3220387.69+45968.296</f>
        <v>3315623.7859999998</v>
      </c>
      <c r="M13" s="609">
        <v>3283441.35</v>
      </c>
      <c r="N13" s="609">
        <v>47250.62</v>
      </c>
      <c r="O13" s="612">
        <v>2672140.31</v>
      </c>
      <c r="P13" s="611">
        <v>5889878.9900000002</v>
      </c>
      <c r="Q13" s="611">
        <v>2460583.2999999998</v>
      </c>
      <c r="R13" s="611">
        <f>2412046.5+48536.8</f>
        <v>2460583.2999999998</v>
      </c>
      <c r="S13" s="611">
        <v>2651144.0499999998</v>
      </c>
      <c r="T13" s="611">
        <v>47557.79</v>
      </c>
      <c r="U13" s="611">
        <v>2574382.65</v>
      </c>
      <c r="V13" s="611">
        <v>2598533.16</v>
      </c>
      <c r="W13" s="611">
        <v>2479708.2999999998</v>
      </c>
      <c r="X13" s="611">
        <f>92987.91+2527513.82+2433222.68</f>
        <v>5053724.41</v>
      </c>
      <c r="Y13" s="611">
        <v>2511649.9099999997</v>
      </c>
      <c r="Z13" s="637">
        <v>2511517.73</v>
      </c>
      <c r="AA13" s="611">
        <v>2491604.2199999997</v>
      </c>
      <c r="AB13" s="611"/>
      <c r="AC13" s="613"/>
      <c r="AD13" s="613"/>
      <c r="AE13" s="613"/>
      <c r="AF13" s="613"/>
      <c r="AG13" s="612">
        <f t="shared" si="0"/>
        <v>2562858.7140000183</v>
      </c>
      <c r="AH13" s="601"/>
      <c r="AI13" s="476">
        <v>5429928.4100000188</v>
      </c>
      <c r="AJ13" s="476">
        <v>1847084.23</v>
      </c>
      <c r="AK13" s="476">
        <f t="shared" si="1"/>
        <v>34132058.350000001</v>
      </c>
      <c r="AL13" s="537">
        <f t="shared" si="2"/>
        <v>35152043.816</v>
      </c>
      <c r="AM13" s="474">
        <f t="shared" si="3"/>
        <v>2562858.7140000239</v>
      </c>
      <c r="AN13" s="327">
        <f t="shared" si="4"/>
        <v>0</v>
      </c>
    </row>
    <row r="14" spans="1:40" s="538" customFormat="1" x14ac:dyDescent="0.45">
      <c r="A14" s="691" t="s">
        <v>86</v>
      </c>
      <c r="B14" s="609">
        <v>100776.00000000012</v>
      </c>
      <c r="C14" s="610">
        <v>186048</v>
      </c>
      <c r="D14" s="609"/>
      <c r="E14" s="614">
        <v>7752</v>
      </c>
      <c r="F14" s="609"/>
      <c r="G14" s="611">
        <v>7752</v>
      </c>
      <c r="H14" s="609"/>
      <c r="I14" s="609">
        <v>7752</v>
      </c>
      <c r="J14" s="609"/>
      <c r="K14" s="609">
        <v>7752</v>
      </c>
      <c r="L14" s="609"/>
      <c r="M14" s="609">
        <v>7752</v>
      </c>
      <c r="N14" s="609"/>
      <c r="O14" s="612">
        <v>7752</v>
      </c>
      <c r="P14" s="611"/>
      <c r="Q14" s="611">
        <v>7752</v>
      </c>
      <c r="R14" s="611"/>
      <c r="S14" s="611">
        <v>7752</v>
      </c>
      <c r="T14" s="611"/>
      <c r="U14" s="611">
        <v>7752</v>
      </c>
      <c r="V14" s="611"/>
      <c r="W14" s="611">
        <v>7752</v>
      </c>
      <c r="X14" s="611"/>
      <c r="Y14" s="611">
        <v>7752</v>
      </c>
      <c r="Z14" s="611"/>
      <c r="AA14" s="611">
        <v>7752</v>
      </c>
      <c r="AB14" s="611"/>
      <c r="AC14" s="613"/>
      <c r="AD14" s="613"/>
      <c r="AE14" s="613"/>
      <c r="AF14" s="613"/>
      <c r="AG14" s="612">
        <f t="shared" si="0"/>
        <v>7752.0000000001164</v>
      </c>
      <c r="AH14" s="601"/>
      <c r="AI14" s="476">
        <v>100776.00000000012</v>
      </c>
      <c r="AJ14" s="476">
        <v>186048</v>
      </c>
      <c r="AK14" s="476">
        <f t="shared" si="1"/>
        <v>93024</v>
      </c>
      <c r="AL14" s="537">
        <f t="shared" si="2"/>
        <v>0</v>
      </c>
      <c r="AM14" s="474">
        <f t="shared" si="3"/>
        <v>7752.0000000001164</v>
      </c>
      <c r="AN14" s="327">
        <f t="shared" si="4"/>
        <v>0</v>
      </c>
    </row>
    <row r="15" spans="1:40" s="538" customFormat="1" x14ac:dyDescent="0.45">
      <c r="A15" s="691" t="s">
        <v>334</v>
      </c>
      <c r="B15" s="609">
        <v>10784.309999998359</v>
      </c>
      <c r="C15" s="610">
        <v>177014.31</v>
      </c>
      <c r="D15" s="609"/>
      <c r="E15" s="609">
        <v>113737</v>
      </c>
      <c r="F15" s="609"/>
      <c r="G15" s="611">
        <v>0</v>
      </c>
      <c r="H15" s="609"/>
      <c r="I15" s="609">
        <v>0</v>
      </c>
      <c r="J15" s="609"/>
      <c r="K15" s="609">
        <v>8749</v>
      </c>
      <c r="L15" s="609"/>
      <c r="M15" s="611">
        <v>0</v>
      </c>
      <c r="N15" s="609"/>
      <c r="O15" s="612">
        <v>0</v>
      </c>
      <c r="P15" s="611"/>
      <c r="Q15" s="575">
        <v>8749</v>
      </c>
      <c r="R15" s="611"/>
      <c r="S15" s="611">
        <v>8749</v>
      </c>
      <c r="T15" s="611"/>
      <c r="U15" s="611">
        <v>8749</v>
      </c>
      <c r="V15" s="611"/>
      <c r="W15" s="611">
        <v>8749</v>
      </c>
      <c r="X15" s="611"/>
      <c r="Y15" s="611">
        <v>8749</v>
      </c>
      <c r="Z15" s="611"/>
      <c r="AA15" s="611">
        <v>8749</v>
      </c>
      <c r="AB15" s="611"/>
      <c r="AC15" s="613"/>
      <c r="AD15" s="613"/>
      <c r="AE15" s="613"/>
      <c r="AF15" s="613"/>
      <c r="AG15" s="612">
        <f t="shared" si="0"/>
        <v>8749.9999999983702</v>
      </c>
      <c r="AH15" s="601"/>
      <c r="AI15" s="476">
        <v>10784.309999998359</v>
      </c>
      <c r="AJ15" s="476">
        <v>177014.31</v>
      </c>
      <c r="AK15" s="476">
        <f t="shared" si="1"/>
        <v>174980</v>
      </c>
      <c r="AL15" s="537">
        <f t="shared" si="2"/>
        <v>0</v>
      </c>
      <c r="AM15" s="474">
        <f t="shared" si="3"/>
        <v>8749.9999999983702</v>
      </c>
      <c r="AN15" s="327">
        <f t="shared" si="4"/>
        <v>0</v>
      </c>
    </row>
    <row r="16" spans="1:40" s="538" customFormat="1" x14ac:dyDescent="0.45">
      <c r="A16" s="691" t="s">
        <v>459</v>
      </c>
      <c r="B16" s="609">
        <v>0</v>
      </c>
      <c r="C16" s="610"/>
      <c r="D16" s="609"/>
      <c r="E16" s="611">
        <v>0</v>
      </c>
      <c r="F16" s="609"/>
      <c r="G16" s="611">
        <v>0</v>
      </c>
      <c r="H16" s="609"/>
      <c r="I16" s="609">
        <v>0</v>
      </c>
      <c r="J16" s="609"/>
      <c r="K16" s="609">
        <v>0</v>
      </c>
      <c r="L16" s="609"/>
      <c r="M16" s="611">
        <v>0</v>
      </c>
      <c r="N16" s="609"/>
      <c r="O16" s="612">
        <v>0</v>
      </c>
      <c r="P16" s="611"/>
      <c r="Q16" s="611">
        <v>0</v>
      </c>
      <c r="R16" s="611"/>
      <c r="S16" s="611">
        <v>0</v>
      </c>
      <c r="T16" s="611"/>
      <c r="U16" s="611"/>
      <c r="V16" s="611"/>
      <c r="W16" s="611">
        <v>16947.79</v>
      </c>
      <c r="X16" s="611"/>
      <c r="Y16" s="611">
        <v>73583.61</v>
      </c>
      <c r="Z16" s="611"/>
      <c r="AA16" s="611">
        <v>4462.75</v>
      </c>
      <c r="AB16" s="611"/>
      <c r="AC16" s="613"/>
      <c r="AD16" s="613"/>
      <c r="AE16" s="613"/>
      <c r="AF16" s="613"/>
      <c r="AG16" s="612">
        <f t="shared" si="0"/>
        <v>94994.15</v>
      </c>
      <c r="AH16" s="601"/>
      <c r="AI16" s="476">
        <v>0</v>
      </c>
      <c r="AJ16" s="476"/>
      <c r="AK16" s="476">
        <f t="shared" si="1"/>
        <v>94994.15</v>
      </c>
      <c r="AL16" s="537">
        <f t="shared" si="2"/>
        <v>0</v>
      </c>
      <c r="AM16" s="474">
        <f t="shared" si="3"/>
        <v>94994.15</v>
      </c>
      <c r="AN16" s="327">
        <f t="shared" si="4"/>
        <v>0</v>
      </c>
    </row>
    <row r="17" spans="1:41" s="538" customFormat="1" x14ac:dyDescent="0.45">
      <c r="A17" s="691" t="s">
        <v>460</v>
      </c>
      <c r="B17" s="609">
        <v>56512.729999999996</v>
      </c>
      <c r="C17" s="610">
        <v>56512.73</v>
      </c>
      <c r="D17" s="609"/>
      <c r="E17" s="611">
        <v>0</v>
      </c>
      <c r="F17" s="609"/>
      <c r="G17" s="611">
        <v>0</v>
      </c>
      <c r="H17" s="609"/>
      <c r="I17" s="609">
        <v>0</v>
      </c>
      <c r="J17" s="609"/>
      <c r="K17" s="609">
        <v>0</v>
      </c>
      <c r="L17" s="609"/>
      <c r="M17" s="611">
        <v>0</v>
      </c>
      <c r="N17" s="609"/>
      <c r="O17" s="612">
        <v>0</v>
      </c>
      <c r="P17" s="611"/>
      <c r="Q17" s="611">
        <v>0</v>
      </c>
      <c r="R17" s="611"/>
      <c r="S17" s="611">
        <v>0</v>
      </c>
      <c r="T17" s="611"/>
      <c r="U17" s="611"/>
      <c r="V17" s="611"/>
      <c r="W17" s="611">
        <v>0</v>
      </c>
      <c r="X17" s="611"/>
      <c r="Y17" s="611">
        <v>0</v>
      </c>
      <c r="Z17" s="611"/>
      <c r="AA17" s="611">
        <v>0</v>
      </c>
      <c r="AB17" s="611"/>
      <c r="AC17" s="613"/>
      <c r="AD17" s="613"/>
      <c r="AE17" s="613"/>
      <c r="AF17" s="613"/>
      <c r="AG17" s="612">
        <f t="shared" si="0"/>
        <v>-7.2759576141834259E-12</v>
      </c>
      <c r="AH17" s="601"/>
      <c r="AI17" s="476">
        <v>56512.729999999996</v>
      </c>
      <c r="AJ17" s="476">
        <v>56512.73</v>
      </c>
      <c r="AK17" s="476">
        <f t="shared" si="1"/>
        <v>0</v>
      </c>
      <c r="AL17" s="537">
        <f t="shared" si="2"/>
        <v>0</v>
      </c>
      <c r="AM17" s="474">
        <f t="shared" si="3"/>
        <v>-7.2759576141834259E-12</v>
      </c>
      <c r="AN17" s="327">
        <f t="shared" si="4"/>
        <v>0</v>
      </c>
    </row>
    <row r="18" spans="1:41" s="538" customFormat="1" x14ac:dyDescent="0.45">
      <c r="A18" s="691" t="s">
        <v>461</v>
      </c>
      <c r="B18" s="609">
        <v>1127.1300000000001</v>
      </c>
      <c r="C18" s="610">
        <v>1127.1300000000001</v>
      </c>
      <c r="D18" s="609"/>
      <c r="E18" s="611">
        <v>0</v>
      </c>
      <c r="F18" s="609"/>
      <c r="G18" s="611">
        <v>0</v>
      </c>
      <c r="H18" s="609"/>
      <c r="I18" s="609">
        <v>0</v>
      </c>
      <c r="J18" s="609"/>
      <c r="K18" s="609">
        <v>0</v>
      </c>
      <c r="L18" s="609"/>
      <c r="M18" s="611">
        <v>0</v>
      </c>
      <c r="N18" s="609"/>
      <c r="O18" s="612">
        <v>0</v>
      </c>
      <c r="P18" s="611"/>
      <c r="Q18" s="611">
        <v>0</v>
      </c>
      <c r="R18" s="611"/>
      <c r="S18" s="611">
        <v>0</v>
      </c>
      <c r="T18" s="611"/>
      <c r="U18" s="611"/>
      <c r="V18" s="611"/>
      <c r="W18" s="611">
        <v>0</v>
      </c>
      <c r="X18" s="611"/>
      <c r="Y18" s="611">
        <v>0</v>
      </c>
      <c r="Z18" s="611"/>
      <c r="AA18" s="611">
        <v>0</v>
      </c>
      <c r="AB18" s="611"/>
      <c r="AC18" s="613"/>
      <c r="AD18" s="613"/>
      <c r="AE18" s="613"/>
      <c r="AF18" s="613"/>
      <c r="AG18" s="612">
        <f t="shared" si="0"/>
        <v>0</v>
      </c>
      <c r="AH18" s="601"/>
      <c r="AI18" s="476">
        <v>1127.1300000000001</v>
      </c>
      <c r="AJ18" s="476">
        <v>1127.1300000000001</v>
      </c>
      <c r="AK18" s="476">
        <f t="shared" si="1"/>
        <v>0</v>
      </c>
      <c r="AL18" s="537">
        <f t="shared" si="2"/>
        <v>0</v>
      </c>
      <c r="AM18" s="474">
        <f t="shared" si="3"/>
        <v>0</v>
      </c>
      <c r="AN18" s="327">
        <f t="shared" si="4"/>
        <v>0</v>
      </c>
    </row>
    <row r="19" spans="1:41" s="538" customFormat="1" x14ac:dyDescent="0.45">
      <c r="A19" s="691" t="s">
        <v>41</v>
      </c>
      <c r="B19" s="609">
        <v>6536554.6599999992</v>
      </c>
      <c r="C19" s="610">
        <v>6320079.5999999996</v>
      </c>
      <c r="D19" s="609"/>
      <c r="E19" s="609">
        <v>31939.32</v>
      </c>
      <c r="F19" s="609"/>
      <c r="G19" s="611">
        <v>7452.39</v>
      </c>
      <c r="H19" s="609">
        <v>145763.72</v>
      </c>
      <c r="I19" s="609">
        <v>-102650.65999999999</v>
      </c>
      <c r="J19" s="609"/>
      <c r="K19" s="609">
        <v>-7452.39</v>
      </c>
      <c r="L19" s="609"/>
      <c r="M19" s="611">
        <v>8351.42</v>
      </c>
      <c r="N19" s="609"/>
      <c r="O19" s="612">
        <v>646008.48</v>
      </c>
      <c r="P19" s="611"/>
      <c r="Q19" s="611">
        <v>0</v>
      </c>
      <c r="R19" s="611"/>
      <c r="S19" s="611">
        <v>0</v>
      </c>
      <c r="T19" s="611"/>
      <c r="U19" s="611"/>
      <c r="V19" s="611"/>
      <c r="W19" s="611">
        <v>0</v>
      </c>
      <c r="X19" s="640"/>
      <c r="Y19" s="611">
        <v>0</v>
      </c>
      <c r="Z19" s="611">
        <v>64751.33</v>
      </c>
      <c r="AA19" s="611">
        <v>6876.0999999999985</v>
      </c>
      <c r="AB19" s="611"/>
      <c r="AC19" s="613"/>
      <c r="AD19" s="613"/>
      <c r="AE19" s="613"/>
      <c r="AF19" s="613"/>
      <c r="AG19" s="612">
        <f t="shared" si="0"/>
        <v>596484.66999999958</v>
      </c>
      <c r="AH19" s="601"/>
      <c r="AI19" s="476">
        <v>6536554.6599999992</v>
      </c>
      <c r="AJ19" s="476">
        <v>6320079.5999999996</v>
      </c>
      <c r="AK19" s="476">
        <f t="shared" si="1"/>
        <v>590524.65999999992</v>
      </c>
      <c r="AL19" s="537">
        <f t="shared" si="2"/>
        <v>210515.05</v>
      </c>
      <c r="AM19" s="474">
        <f t="shared" si="3"/>
        <v>596484.66999999946</v>
      </c>
      <c r="AN19" s="327">
        <f t="shared" si="4"/>
        <v>0</v>
      </c>
    </row>
    <row r="20" spans="1:41" s="538" customFormat="1" x14ac:dyDescent="0.45">
      <c r="A20" s="691" t="s">
        <v>26</v>
      </c>
      <c r="B20" s="609">
        <v>5937315.1900000125</v>
      </c>
      <c r="C20" s="610">
        <v>2178.52</v>
      </c>
      <c r="D20" s="609">
        <v>5935136.6699999999</v>
      </c>
      <c r="E20" s="609">
        <v>6048504.7999999998</v>
      </c>
      <c r="F20" s="609"/>
      <c r="G20" s="611">
        <v>6339581.3500000006</v>
      </c>
      <c r="H20" s="609">
        <f>6048504.8+6339581.35</f>
        <v>12388086.149999999</v>
      </c>
      <c r="I20" s="609">
        <v>7008805.3199999994</v>
      </c>
      <c r="J20" s="609"/>
      <c r="K20" s="609">
        <v>6487930.5999999996</v>
      </c>
      <c r="L20" s="609">
        <f>7008805.32+6487930.6</f>
        <v>13496735.92</v>
      </c>
      <c r="M20" s="609">
        <v>7071108.1199999992</v>
      </c>
      <c r="N20" s="609">
        <v>7071108.1200000001</v>
      </c>
      <c r="O20" s="612">
        <v>6830238.7399999993</v>
      </c>
      <c r="P20" s="611">
        <v>6830230.7400000002</v>
      </c>
      <c r="Q20" s="611">
        <v>6473297.4000000013</v>
      </c>
      <c r="R20" s="611">
        <f>6473305.4</f>
        <v>6473305.4000000004</v>
      </c>
      <c r="S20" s="611">
        <v>7151286.0500000007</v>
      </c>
      <c r="T20" s="611">
        <v>7151286.0499999998</v>
      </c>
      <c r="U20" s="611">
        <v>6665536.5699999994</v>
      </c>
      <c r="V20" s="611"/>
      <c r="W20" s="611">
        <v>5717124.1799999988</v>
      </c>
      <c r="X20" s="611">
        <f>6665536.57+5717124.18</f>
        <v>12382660.75</v>
      </c>
      <c r="Y20" s="611">
        <v>6597219.7500000009</v>
      </c>
      <c r="Z20" s="611">
        <f>6597219.75+5159954.76</f>
        <v>11757174.51</v>
      </c>
      <c r="AA20" s="611">
        <v>6318162.4699999988</v>
      </c>
      <c r="AB20" s="611"/>
      <c r="AC20" s="613"/>
      <c r="AD20" s="613"/>
      <c r="AE20" s="613"/>
      <c r="AF20" s="613"/>
      <c r="AG20" s="612">
        <f t="shared" si="0"/>
        <v>1158207.7100000111</v>
      </c>
      <c r="AH20" s="601"/>
      <c r="AI20" s="476">
        <v>5937315.1900000125</v>
      </c>
      <c r="AJ20" s="476">
        <v>2178.52</v>
      </c>
      <c r="AK20" s="476">
        <f t="shared" si="1"/>
        <v>78708795.349999994</v>
      </c>
      <c r="AL20" s="537">
        <f t="shared" si="2"/>
        <v>83485724.310000002</v>
      </c>
      <c r="AM20" s="474">
        <f t="shared" si="3"/>
        <v>1158207.7100000083</v>
      </c>
      <c r="AN20" s="327">
        <f t="shared" si="4"/>
        <v>0</v>
      </c>
    </row>
    <row r="21" spans="1:41" s="538" customFormat="1" x14ac:dyDescent="0.45">
      <c r="A21" s="691" t="s">
        <v>36</v>
      </c>
      <c r="B21" s="609">
        <v>7284099.4999999963</v>
      </c>
      <c r="C21" s="610">
        <v>1276135.6499999999</v>
      </c>
      <c r="D21" s="609">
        <v>3815622.4</v>
      </c>
      <c r="E21" s="609">
        <v>1354282.98</v>
      </c>
      <c r="F21" s="609"/>
      <c r="G21" s="611">
        <v>1303410.6999999997</v>
      </c>
      <c r="H21" s="609"/>
      <c r="I21" s="609">
        <v>1297740.6500000001</v>
      </c>
      <c r="J21" s="609">
        <f>2192341.45</f>
        <v>2192341.4500000002</v>
      </c>
      <c r="K21" s="609">
        <v>1238389.7899999998</v>
      </c>
      <c r="L21" s="609"/>
      <c r="M21" s="611">
        <v>1271144.6200000001</v>
      </c>
      <c r="N21" s="609">
        <v>1238389.79</v>
      </c>
      <c r="O21" s="612">
        <v>1281888.69</v>
      </c>
      <c r="P21" s="611">
        <v>5226578.9499999993</v>
      </c>
      <c r="Q21" s="611">
        <v>1202867.01</v>
      </c>
      <c r="R21" s="611">
        <v>1281888.69</v>
      </c>
      <c r="S21" s="611">
        <v>1288372.25</v>
      </c>
      <c r="T21" s="611">
        <v>1202867.01</v>
      </c>
      <c r="U21" s="611">
        <v>1228675.6499999999</v>
      </c>
      <c r="V21" s="611"/>
      <c r="W21" s="611">
        <v>1206332.8700000001</v>
      </c>
      <c r="X21" s="611"/>
      <c r="Y21" s="611">
        <v>1212635.4099999999</v>
      </c>
      <c r="Z21" s="611">
        <f>1206332.87</f>
        <v>1206332.8700000001</v>
      </c>
      <c r="AA21" s="611">
        <v>1310607.1200000001</v>
      </c>
      <c r="AB21" s="611"/>
      <c r="AC21" s="613"/>
      <c r="AD21" s="613"/>
      <c r="AE21" s="613"/>
      <c r="AF21" s="613"/>
      <c r="AG21" s="612">
        <f t="shared" si="0"/>
        <v>5040290.429999996</v>
      </c>
      <c r="AH21" s="601"/>
      <c r="AI21" s="476">
        <v>7284099.4999999963</v>
      </c>
      <c r="AJ21" s="476">
        <v>1276135.6499999999</v>
      </c>
      <c r="AK21" s="476">
        <f t="shared" si="1"/>
        <v>15196347.740000002</v>
      </c>
      <c r="AL21" s="537">
        <f t="shared" si="2"/>
        <v>16164021.16</v>
      </c>
      <c r="AM21" s="474">
        <f t="shared" si="3"/>
        <v>5040290.429999996</v>
      </c>
      <c r="AN21" s="327">
        <f t="shared" si="4"/>
        <v>0</v>
      </c>
    </row>
    <row r="22" spans="1:41" s="538" customFormat="1" x14ac:dyDescent="0.45">
      <c r="A22" s="691" t="s">
        <v>23</v>
      </c>
      <c r="B22" s="609">
        <v>2167324.0300000012</v>
      </c>
      <c r="C22" s="610"/>
      <c r="D22" s="609">
        <v>2747891.85</v>
      </c>
      <c r="E22" s="609">
        <v>2304724.31</v>
      </c>
      <c r="F22" s="609"/>
      <c r="G22" s="611">
        <v>1340749.1600000001</v>
      </c>
      <c r="H22" s="609">
        <f>2192546.48</f>
        <v>2192546.48</v>
      </c>
      <c r="I22" s="609">
        <v>1010675.78</v>
      </c>
      <c r="J22" s="609">
        <f>1286870.89+990060.67</f>
        <v>2276931.56</v>
      </c>
      <c r="K22" s="609">
        <v>849170.98</v>
      </c>
      <c r="L22" s="609"/>
      <c r="M22" s="609">
        <v>823118.83000000007</v>
      </c>
      <c r="N22" s="609">
        <v>796861.7</v>
      </c>
      <c r="O22" s="612">
        <v>520605.79</v>
      </c>
      <c r="P22" s="611">
        <v>815697.55</v>
      </c>
      <c r="Q22" s="611">
        <v>439299.02</v>
      </c>
      <c r="R22" s="611">
        <f>512928.51+431877.74</f>
        <v>944806.25</v>
      </c>
      <c r="S22" s="611">
        <v>436708.25000000006</v>
      </c>
      <c r="T22" s="611"/>
      <c r="U22" s="611">
        <v>253215.7</v>
      </c>
      <c r="V22" s="611">
        <f>245794.42</f>
        <v>245794.42</v>
      </c>
      <c r="W22" s="611">
        <v>177073.04</v>
      </c>
      <c r="X22" s="611"/>
      <c r="Y22" s="611">
        <v>164559.38</v>
      </c>
      <c r="Z22" s="611">
        <f>169651.76</f>
        <v>169651.76</v>
      </c>
      <c r="AA22" s="611">
        <v>122872.48000000003</v>
      </c>
      <c r="AB22" s="611"/>
      <c r="AC22" s="613"/>
      <c r="AD22" s="613"/>
      <c r="AE22" s="613"/>
      <c r="AF22" s="613"/>
      <c r="AG22" s="612">
        <f t="shared" si="0"/>
        <v>419915.18000000151</v>
      </c>
      <c r="AH22" s="601"/>
      <c r="AI22" s="476">
        <v>2167324.0300000012</v>
      </c>
      <c r="AJ22" s="476"/>
      <c r="AK22" s="476">
        <f t="shared" si="1"/>
        <v>8442772.7200000007</v>
      </c>
      <c r="AL22" s="537">
        <f t="shared" si="2"/>
        <v>10190181.57</v>
      </c>
      <c r="AM22" s="474">
        <f t="shared" si="3"/>
        <v>419915.18000000156</v>
      </c>
      <c r="AN22" s="327">
        <f t="shared" si="4"/>
        <v>0</v>
      </c>
    </row>
    <row r="23" spans="1:41" s="538" customFormat="1" x14ac:dyDescent="0.45">
      <c r="A23" s="691" t="s">
        <v>21</v>
      </c>
      <c r="B23" s="609">
        <v>14593963.369999994</v>
      </c>
      <c r="C23" s="610"/>
      <c r="D23" s="609">
        <v>5900438.0599999996</v>
      </c>
      <c r="E23" s="609">
        <v>263804.44</v>
      </c>
      <c r="F23" s="609">
        <f>2091926.47</f>
        <v>2091926.47</v>
      </c>
      <c r="G23" s="611">
        <v>2342876.4</v>
      </c>
      <c r="H23" s="609">
        <v>6228430.4699999997</v>
      </c>
      <c r="I23" s="609">
        <v>2946605.4899999998</v>
      </c>
      <c r="J23" s="609">
        <v>3783817.78</v>
      </c>
      <c r="K23" s="609">
        <v>3449890.61</v>
      </c>
      <c r="L23" s="609">
        <f>1769465.55+3449890.61</f>
        <v>5219356.16</v>
      </c>
      <c r="M23" s="609">
        <v>3844450.2900000005</v>
      </c>
      <c r="N23" s="609"/>
      <c r="O23" s="612">
        <v>3630424.2899999996</v>
      </c>
      <c r="P23" s="611">
        <v>3844450.29</v>
      </c>
      <c r="Q23" s="611">
        <v>3408602.7500000005</v>
      </c>
      <c r="R23" s="611">
        <f>3630424.29+3408602.75</f>
        <v>7039027.04</v>
      </c>
      <c r="S23" s="611">
        <v>3467296.1500000004</v>
      </c>
      <c r="T23" s="611"/>
      <c r="U23" s="611">
        <v>3884107.04</v>
      </c>
      <c r="V23" s="611"/>
      <c r="W23" s="611">
        <v>2359758.2799999998</v>
      </c>
      <c r="X23" s="611">
        <f>3884107.04+5827054.43</f>
        <v>9711161.4699999988</v>
      </c>
      <c r="Y23" s="611">
        <v>3847941.59</v>
      </c>
      <c r="Z23" s="611"/>
      <c r="AA23" s="611">
        <v>3196191.24</v>
      </c>
      <c r="AB23" s="611"/>
      <c r="AC23" s="613"/>
      <c r="AD23" s="613"/>
      <c r="AE23" s="613"/>
      <c r="AF23" s="613"/>
      <c r="AG23" s="612">
        <f t="shared" si="0"/>
        <v>7417304.1999999955</v>
      </c>
      <c r="AH23" s="601"/>
      <c r="AI23" s="476">
        <v>14593963.369999994</v>
      </c>
      <c r="AJ23" s="476"/>
      <c r="AK23" s="476">
        <f t="shared" si="1"/>
        <v>36641948.57</v>
      </c>
      <c r="AL23" s="537">
        <f t="shared" si="2"/>
        <v>43818607.740000002</v>
      </c>
      <c r="AM23" s="474">
        <f t="shared" si="3"/>
        <v>7417304.1999999955</v>
      </c>
      <c r="AN23" s="327">
        <f t="shared" si="4"/>
        <v>0</v>
      </c>
    </row>
    <row r="24" spans="1:41" s="538" customFormat="1" x14ac:dyDescent="0.45">
      <c r="A24" s="691" t="s">
        <v>185</v>
      </c>
      <c r="B24" s="609">
        <v>2008554.8400000036</v>
      </c>
      <c r="C24" s="610"/>
      <c r="D24" s="609">
        <v>784655.55</v>
      </c>
      <c r="E24" s="609">
        <v>750125.46</v>
      </c>
      <c r="F24" s="609">
        <v>738054.34</v>
      </c>
      <c r="G24" s="611">
        <v>572370.56999999995</v>
      </c>
      <c r="H24" s="609"/>
      <c r="I24" s="609">
        <v>349075.11000000004</v>
      </c>
      <c r="J24" s="609">
        <f>750125.46+572370.57</f>
        <v>1322496.0299999998</v>
      </c>
      <c r="K24" s="609">
        <v>254216.82</v>
      </c>
      <c r="L24" s="609">
        <f>349075.11+254216.82</f>
        <v>603291.92999999993</v>
      </c>
      <c r="M24" s="609">
        <v>169649.18</v>
      </c>
      <c r="N24" s="609">
        <v>169649.18</v>
      </c>
      <c r="O24" s="612">
        <v>160275.28</v>
      </c>
      <c r="P24" s="611">
        <v>160275.28</v>
      </c>
      <c r="Q24" s="611">
        <v>117556.1</v>
      </c>
      <c r="R24" s="611">
        <v>117556.1</v>
      </c>
      <c r="S24" s="611">
        <v>80998.53</v>
      </c>
      <c r="T24" s="611">
        <v>80998.53</v>
      </c>
      <c r="U24" s="611">
        <v>74436.989999999991</v>
      </c>
      <c r="V24" s="611">
        <f>74436.99</f>
        <v>74436.990000000005</v>
      </c>
      <c r="W24" s="611">
        <v>75012.33</v>
      </c>
      <c r="X24" s="611"/>
      <c r="Y24" s="611">
        <v>94072.53</v>
      </c>
      <c r="Z24" s="611">
        <f>75012.33+94072.53</f>
        <v>169084.86</v>
      </c>
      <c r="AA24" s="611">
        <v>25616.720000000001</v>
      </c>
      <c r="AB24" s="611"/>
      <c r="AC24" s="613"/>
      <c r="AD24" s="613"/>
      <c r="AE24" s="613"/>
      <c r="AF24" s="613"/>
      <c r="AG24" s="612">
        <f t="shared" si="0"/>
        <v>511461.6700000033</v>
      </c>
      <c r="AH24" s="601"/>
      <c r="AI24" s="476">
        <v>2008554.8400000036</v>
      </c>
      <c r="AJ24" s="476"/>
      <c r="AK24" s="476">
        <f t="shared" si="1"/>
        <v>2723405.62</v>
      </c>
      <c r="AL24" s="537">
        <f t="shared" si="2"/>
        <v>4220498.79</v>
      </c>
      <c r="AM24" s="474">
        <f t="shared" si="3"/>
        <v>511461.67000000365</v>
      </c>
      <c r="AN24" s="327">
        <f t="shared" si="4"/>
        <v>0</v>
      </c>
    </row>
    <row r="25" spans="1:41" s="538" customFormat="1" x14ac:dyDescent="0.45">
      <c r="A25" s="691" t="s">
        <v>89</v>
      </c>
      <c r="B25" s="609">
        <v>-4655.5600000000559</v>
      </c>
      <c r="C25" s="610"/>
      <c r="D25" s="609"/>
      <c r="E25" s="609">
        <v>0</v>
      </c>
      <c r="F25" s="609"/>
      <c r="G25" s="611">
        <v>0</v>
      </c>
      <c r="H25" s="609"/>
      <c r="I25" s="609">
        <v>0</v>
      </c>
      <c r="J25" s="609"/>
      <c r="K25" s="609">
        <v>0</v>
      </c>
      <c r="L25" s="609"/>
      <c r="M25" s="609">
        <v>0</v>
      </c>
      <c r="N25" s="609"/>
      <c r="O25" s="612">
        <v>0</v>
      </c>
      <c r="P25" s="611"/>
      <c r="Q25" s="611">
        <v>0</v>
      </c>
      <c r="R25" s="611"/>
      <c r="S25" s="611">
        <v>0</v>
      </c>
      <c r="T25" s="611"/>
      <c r="U25" s="611"/>
      <c r="V25" s="611"/>
      <c r="W25" s="611">
        <v>0</v>
      </c>
      <c r="X25" s="611"/>
      <c r="Y25" s="611">
        <v>0</v>
      </c>
      <c r="Z25" s="611"/>
      <c r="AA25" s="611">
        <v>0</v>
      </c>
      <c r="AB25" s="611"/>
      <c r="AC25" s="613"/>
      <c r="AD25" s="613"/>
      <c r="AE25" s="613"/>
      <c r="AF25" s="613"/>
      <c r="AG25" s="612">
        <f t="shared" si="0"/>
        <v>-4655.5600000000559</v>
      </c>
      <c r="AH25" s="601"/>
      <c r="AI25" s="476">
        <v>-4655.5600000000559</v>
      </c>
      <c r="AJ25" s="476"/>
      <c r="AK25" s="476">
        <f t="shared" si="1"/>
        <v>0</v>
      </c>
      <c r="AL25" s="537">
        <f t="shared" si="2"/>
        <v>0</v>
      </c>
      <c r="AM25" s="474">
        <f t="shared" si="3"/>
        <v>-4655.5600000000559</v>
      </c>
      <c r="AN25" s="327">
        <f t="shared" si="4"/>
        <v>0</v>
      </c>
    </row>
    <row r="26" spans="1:41" s="538" customFormat="1" x14ac:dyDescent="0.45">
      <c r="A26" s="691" t="s">
        <v>308</v>
      </c>
      <c r="B26" s="609">
        <v>859542.37999999896</v>
      </c>
      <c r="C26" s="610">
        <v>228640.74</v>
      </c>
      <c r="D26" s="609"/>
      <c r="E26" s="609">
        <v>816161.2</v>
      </c>
      <c r="F26" s="609"/>
      <c r="G26" s="611">
        <v>516498.81999999995</v>
      </c>
      <c r="H26" s="609">
        <f>1447062.84</f>
        <v>1447062.84</v>
      </c>
      <c r="I26" s="609">
        <v>523265.9</v>
      </c>
      <c r="J26" s="609">
        <f>523265.9+516498.82</f>
        <v>1039764.72</v>
      </c>
      <c r="K26" s="609">
        <v>680031.79</v>
      </c>
      <c r="L26" s="609"/>
      <c r="M26" s="609">
        <v>575137.43999999994</v>
      </c>
      <c r="N26" s="609">
        <f>680031.79</f>
        <v>680031.79</v>
      </c>
      <c r="O26" s="612">
        <v>712315.62</v>
      </c>
      <c r="P26" s="611">
        <v>575137.43999999994</v>
      </c>
      <c r="Q26" s="611">
        <v>1612224.53</v>
      </c>
      <c r="R26" s="611">
        <v>712315.62</v>
      </c>
      <c r="S26" s="575">
        <v>958271.42999999993</v>
      </c>
      <c r="T26" s="611"/>
      <c r="U26" s="611">
        <v>887094.41999999993</v>
      </c>
      <c r="V26" s="611"/>
      <c r="W26" s="611">
        <v>729430.15</v>
      </c>
      <c r="X26" s="611">
        <f>1612224.53+1845365.85</f>
        <v>3457590.38</v>
      </c>
      <c r="Y26" s="611">
        <v>827372.04</v>
      </c>
      <c r="Z26" s="637">
        <f>729430.15+1443818.04</f>
        <v>2173248.19</v>
      </c>
      <c r="AA26" s="611">
        <v>879354.30999999994</v>
      </c>
      <c r="AB26" s="611"/>
      <c r="AC26" s="613"/>
      <c r="AD26" s="613"/>
      <c r="AE26" s="613"/>
      <c r="AF26" s="613"/>
      <c r="AG26" s="612">
        <f t="shared" si="0"/>
        <v>262908.30999999808</v>
      </c>
      <c r="AH26" s="601"/>
      <c r="AI26" s="476">
        <v>859542.37999999896</v>
      </c>
      <c r="AJ26" s="476">
        <v>228640.74</v>
      </c>
      <c r="AK26" s="476">
        <f t="shared" si="1"/>
        <v>9717157.6500000004</v>
      </c>
      <c r="AL26" s="537">
        <f t="shared" si="2"/>
        <v>10085150.98</v>
      </c>
      <c r="AM26" s="474">
        <f t="shared" si="3"/>
        <v>262908.30999999866</v>
      </c>
      <c r="AN26" s="327">
        <f t="shared" si="4"/>
        <v>0</v>
      </c>
    </row>
    <row r="27" spans="1:41" s="538" customFormat="1" x14ac:dyDescent="0.45">
      <c r="A27" s="691" t="s">
        <v>85</v>
      </c>
      <c r="B27" s="609">
        <v>111188.99999999977</v>
      </c>
      <c r="C27" s="610">
        <v>205272</v>
      </c>
      <c r="D27" s="609"/>
      <c r="E27" s="609">
        <v>8553</v>
      </c>
      <c r="F27" s="609"/>
      <c r="G27" s="611">
        <v>8553</v>
      </c>
      <c r="H27" s="609"/>
      <c r="I27" s="609">
        <v>8553</v>
      </c>
      <c r="J27" s="609"/>
      <c r="K27" s="611">
        <v>8553</v>
      </c>
      <c r="L27" s="609"/>
      <c r="M27" s="609">
        <v>8553</v>
      </c>
      <c r="N27" s="609"/>
      <c r="O27" s="612">
        <v>8553</v>
      </c>
      <c r="P27" s="611"/>
      <c r="Q27" s="611">
        <v>8553</v>
      </c>
      <c r="R27" s="611"/>
      <c r="S27" s="611">
        <v>8553</v>
      </c>
      <c r="T27" s="611"/>
      <c r="U27" s="611">
        <v>8553</v>
      </c>
      <c r="V27" s="611"/>
      <c r="W27" s="611">
        <v>8553</v>
      </c>
      <c r="X27" s="611"/>
      <c r="Y27" s="611">
        <v>8553</v>
      </c>
      <c r="Z27" s="611"/>
      <c r="AA27" s="611">
        <v>8553</v>
      </c>
      <c r="AB27" s="611"/>
      <c r="AC27" s="613"/>
      <c r="AD27" s="613"/>
      <c r="AE27" s="613"/>
      <c r="AF27" s="613"/>
      <c r="AG27" s="612">
        <f t="shared" si="0"/>
        <v>8552.9999999997672</v>
      </c>
      <c r="AH27" s="601"/>
      <c r="AI27" s="476">
        <v>111188.99999999977</v>
      </c>
      <c r="AJ27" s="476">
        <v>205272</v>
      </c>
      <c r="AK27" s="476">
        <f t="shared" si="1"/>
        <v>102636</v>
      </c>
      <c r="AL27" s="537">
        <f t="shared" si="2"/>
        <v>0</v>
      </c>
      <c r="AM27" s="474">
        <f t="shared" si="3"/>
        <v>8552.9999999997672</v>
      </c>
      <c r="AN27" s="327">
        <f t="shared" si="4"/>
        <v>0</v>
      </c>
    </row>
    <row r="28" spans="1:41" s="538" customFormat="1" x14ac:dyDescent="0.45">
      <c r="A28" s="691" t="s">
        <v>37</v>
      </c>
      <c r="B28" s="609">
        <v>2794808.4499999955</v>
      </c>
      <c r="C28" s="610"/>
      <c r="D28" s="609">
        <v>490169.34</v>
      </c>
      <c r="E28" s="609">
        <v>890708.52</v>
      </c>
      <c r="F28" s="609"/>
      <c r="G28" s="611">
        <v>5100018.46</v>
      </c>
      <c r="H28" s="609"/>
      <c r="I28" s="609">
        <v>-3826692.74</v>
      </c>
      <c r="J28" s="609">
        <f>1270456.56</f>
        <v>1270456.56</v>
      </c>
      <c r="K28" s="609">
        <v>601818.93000000005</v>
      </c>
      <c r="L28" s="609">
        <f>890708.52</f>
        <v>890708.52</v>
      </c>
      <c r="M28" s="609">
        <v>600899.61</v>
      </c>
      <c r="N28" s="609">
        <f>592531.44</f>
        <v>592531.43999999994</v>
      </c>
      <c r="O28" s="612">
        <v>633407.48</v>
      </c>
      <c r="P28" s="611">
        <f>680794.22+601818.93+600899.61</f>
        <v>1883512.7599999998</v>
      </c>
      <c r="Q28" s="611">
        <v>619449.67999999993</v>
      </c>
      <c r="R28" s="611"/>
      <c r="S28" s="611">
        <v>616280.53</v>
      </c>
      <c r="T28" s="611"/>
      <c r="U28" s="611">
        <v>589977.11</v>
      </c>
      <c r="V28" s="611">
        <v>2459114.8000000003</v>
      </c>
      <c r="W28" s="611">
        <v>485633.67000000004</v>
      </c>
      <c r="X28" s="611"/>
      <c r="Y28" s="611">
        <v>523838.88000000006</v>
      </c>
      <c r="Z28" s="611">
        <f>485633.67</f>
        <v>485633.67</v>
      </c>
      <c r="AA28" s="611">
        <v>520750.95</v>
      </c>
      <c r="AB28" s="611"/>
      <c r="AC28" s="613"/>
      <c r="AD28" s="613"/>
      <c r="AE28" s="613"/>
      <c r="AF28" s="613"/>
      <c r="AG28" s="612">
        <f t="shared" si="0"/>
        <v>2078772.4399999958</v>
      </c>
      <c r="AH28" s="601"/>
      <c r="AI28" s="476">
        <v>2794808.4499999955</v>
      </c>
      <c r="AJ28" s="476"/>
      <c r="AK28" s="476">
        <f t="shared" si="1"/>
        <v>7356091.080000001</v>
      </c>
      <c r="AL28" s="537">
        <f t="shared" si="2"/>
        <v>8072127.0899999999</v>
      </c>
      <c r="AM28" s="474">
        <f t="shared" si="3"/>
        <v>2078772.4399999976</v>
      </c>
      <c r="AN28" s="327">
        <f t="shared" si="4"/>
        <v>0</v>
      </c>
    </row>
    <row r="29" spans="1:41" s="538" customFormat="1" x14ac:dyDescent="0.45">
      <c r="A29" s="691" t="s">
        <v>28</v>
      </c>
      <c r="B29" s="609">
        <v>745507.96000000136</v>
      </c>
      <c r="C29" s="610">
        <v>504635.37</v>
      </c>
      <c r="D29" s="609">
        <v>132267.67000000001</v>
      </c>
      <c r="E29" s="609">
        <v>154136.79999999999</v>
      </c>
      <c r="F29" s="609"/>
      <c r="G29" s="614">
        <v>100831.84000000001</v>
      </c>
      <c r="H29" s="609">
        <v>322397.65999999997</v>
      </c>
      <c r="I29" s="609">
        <v>113471.88999999998</v>
      </c>
      <c r="J29" s="609"/>
      <c r="K29" s="609">
        <v>90299.129999999976</v>
      </c>
      <c r="L29" s="609">
        <f>104056.51</f>
        <v>104056.51</v>
      </c>
      <c r="M29" s="609">
        <v>41175.049999999996</v>
      </c>
      <c r="N29" s="609">
        <v>54392.32</v>
      </c>
      <c r="O29" s="612">
        <v>54135.360000000001</v>
      </c>
      <c r="P29" s="611">
        <v>51512.33</v>
      </c>
      <c r="Q29" s="575">
        <v>106916.28</v>
      </c>
      <c r="R29" s="611">
        <f>64871.74</f>
        <v>64871.74</v>
      </c>
      <c r="S29" s="611">
        <v>63655.299999999988</v>
      </c>
      <c r="T29" s="611"/>
      <c r="U29" s="611">
        <v>65092.14</v>
      </c>
      <c r="V29" s="611">
        <f>113382.52+56921.27</f>
        <v>170303.79</v>
      </c>
      <c r="W29" s="611">
        <v>74136.260000000009</v>
      </c>
      <c r="X29" s="611">
        <f>56001.52</f>
        <v>56001.52</v>
      </c>
      <c r="Y29" s="611">
        <v>80302.53</v>
      </c>
      <c r="Z29" s="611">
        <f>47888.68+41175.94</f>
        <v>89064.62</v>
      </c>
      <c r="AA29" s="611">
        <v>78536.22</v>
      </c>
      <c r="AB29" s="611"/>
      <c r="AC29" s="613"/>
      <c r="AD29" s="613"/>
      <c r="AE29" s="613"/>
      <c r="AF29" s="613"/>
      <c r="AG29" s="612">
        <f t="shared" si="0"/>
        <v>218693.23000000138</v>
      </c>
      <c r="AH29" s="601"/>
      <c r="AI29" s="476">
        <v>745507.96000000136</v>
      </c>
      <c r="AJ29" s="476">
        <v>504635.37</v>
      </c>
      <c r="AK29" s="476">
        <f t="shared" si="1"/>
        <v>1022688.8000000002</v>
      </c>
      <c r="AL29" s="537">
        <f t="shared" si="2"/>
        <v>1044868.1599999999</v>
      </c>
      <c r="AM29" s="474">
        <f t="shared" si="3"/>
        <v>218693.23000000161</v>
      </c>
      <c r="AN29" s="327">
        <f t="shared" si="4"/>
        <v>0</v>
      </c>
    </row>
    <row r="30" spans="1:41" s="538" customFormat="1" x14ac:dyDescent="0.45">
      <c r="A30" s="691" t="s">
        <v>91</v>
      </c>
      <c r="B30" s="609">
        <v>-501.40999999968335</v>
      </c>
      <c r="C30" s="610"/>
      <c r="D30" s="609"/>
      <c r="E30" s="609">
        <v>0</v>
      </c>
      <c r="F30" s="609"/>
      <c r="G30" s="611">
        <v>0</v>
      </c>
      <c r="H30" s="609"/>
      <c r="I30" s="609">
        <v>0</v>
      </c>
      <c r="J30" s="609"/>
      <c r="K30" s="609">
        <v>0</v>
      </c>
      <c r="L30" s="609"/>
      <c r="M30" s="609">
        <v>0</v>
      </c>
      <c r="N30" s="609"/>
      <c r="O30" s="612">
        <v>0</v>
      </c>
      <c r="P30" s="611"/>
      <c r="Q30" s="611">
        <v>0</v>
      </c>
      <c r="R30" s="611"/>
      <c r="S30" s="611">
        <v>0</v>
      </c>
      <c r="T30" s="611"/>
      <c r="U30" s="611"/>
      <c r="V30" s="611"/>
      <c r="W30" s="611">
        <v>0</v>
      </c>
      <c r="X30" s="611"/>
      <c r="Y30" s="611">
        <v>0</v>
      </c>
      <c r="Z30" s="611"/>
      <c r="AA30" s="611">
        <v>0</v>
      </c>
      <c r="AB30" s="611"/>
      <c r="AC30" s="613"/>
      <c r="AD30" s="613"/>
      <c r="AE30" s="613"/>
      <c r="AF30" s="613"/>
      <c r="AG30" s="612">
        <f t="shared" si="0"/>
        <v>-501.40999999968335</v>
      </c>
      <c r="AH30" s="601"/>
      <c r="AI30" s="476">
        <v>-501.40999999968335</v>
      </c>
      <c r="AJ30" s="476"/>
      <c r="AK30" s="476">
        <f t="shared" si="1"/>
        <v>0</v>
      </c>
      <c r="AL30" s="537">
        <f t="shared" si="2"/>
        <v>0</v>
      </c>
      <c r="AM30" s="474">
        <f t="shared" si="3"/>
        <v>-501.40999999968335</v>
      </c>
      <c r="AN30" s="327">
        <f t="shared" si="4"/>
        <v>0</v>
      </c>
    </row>
    <row r="31" spans="1:41" s="538" customFormat="1" x14ac:dyDescent="0.45">
      <c r="A31" s="691" t="s">
        <v>57</v>
      </c>
      <c r="B31" s="609">
        <v>3166134.5</v>
      </c>
      <c r="C31" s="610">
        <v>239167.51</v>
      </c>
      <c r="D31" s="609">
        <v>1227515.6000000001</v>
      </c>
      <c r="E31" s="611">
        <v>1698257.78</v>
      </c>
      <c r="F31" s="609"/>
      <c r="G31" s="611">
        <v>1305863.1900000002</v>
      </c>
      <c r="H31" s="609"/>
      <c r="I31" s="609">
        <v>1633286.69</v>
      </c>
      <c r="J31" s="609">
        <f>3004120.97+1391439.27</f>
        <v>4395560.24</v>
      </c>
      <c r="K31" s="611">
        <v>1490999.73</v>
      </c>
      <c r="L31" s="609"/>
      <c r="M31" s="609">
        <v>1318948.1400000001</v>
      </c>
      <c r="N31" s="609">
        <v>3124286.42</v>
      </c>
      <c r="O31" s="612">
        <v>1322242.3500000001</v>
      </c>
      <c r="P31" s="611">
        <f>1318948.14+1322242.35</f>
        <v>2641190.4900000002</v>
      </c>
      <c r="Q31" s="611">
        <v>1286708.0599999998</v>
      </c>
      <c r="R31" s="611">
        <f>1286708.06</f>
        <v>1286708.06</v>
      </c>
      <c r="S31" s="611">
        <v>1312645.2700000003</v>
      </c>
      <c r="T31" s="611">
        <v>1312645.27</v>
      </c>
      <c r="U31" s="611">
        <v>1736764.3899999997</v>
      </c>
      <c r="V31" s="611"/>
      <c r="W31" s="611">
        <v>772354.47</v>
      </c>
      <c r="X31" s="611">
        <v>1283429.27</v>
      </c>
      <c r="Y31" s="611">
        <v>1233780.2000000002</v>
      </c>
      <c r="Z31" s="637">
        <v>1225689.68</v>
      </c>
      <c r="AA31" s="611">
        <v>1487155.22</v>
      </c>
      <c r="AB31" s="611"/>
      <c r="AC31" s="613"/>
      <c r="AD31" s="613"/>
      <c r="AE31" s="613"/>
      <c r="AF31" s="613"/>
      <c r="AG31" s="612">
        <f t="shared" si="0"/>
        <v>3028947.4500000007</v>
      </c>
      <c r="AH31" s="601"/>
      <c r="AI31" s="476">
        <v>3166134.5</v>
      </c>
      <c r="AJ31" s="476">
        <v>239167.51</v>
      </c>
      <c r="AK31" s="476">
        <f t="shared" si="1"/>
        <v>16599005.490000004</v>
      </c>
      <c r="AL31" s="537">
        <f t="shared" si="2"/>
        <v>16497025.029999999</v>
      </c>
      <c r="AM31" s="474">
        <f t="shared" si="3"/>
        <v>3028947.4500000048</v>
      </c>
      <c r="AN31" s="327">
        <f t="shared" si="4"/>
        <v>0</v>
      </c>
    </row>
    <row r="32" spans="1:41" s="538" customFormat="1" x14ac:dyDescent="0.45">
      <c r="A32" s="691" t="s">
        <v>65</v>
      </c>
      <c r="B32" s="609">
        <v>170915.48999999976</v>
      </c>
      <c r="C32" s="610">
        <v>12132.48</v>
      </c>
      <c r="D32" s="609">
        <v>158783.01</v>
      </c>
      <c r="E32" s="609">
        <v>73171.929999999993</v>
      </c>
      <c r="F32" s="609"/>
      <c r="G32" s="611">
        <v>71898.11</v>
      </c>
      <c r="H32" s="609">
        <v>73171.929999999993</v>
      </c>
      <c r="I32" s="609">
        <v>71875.180000000008</v>
      </c>
      <c r="J32" s="609">
        <v>143773.28999999998</v>
      </c>
      <c r="K32" s="609">
        <v>83204.41</v>
      </c>
      <c r="L32" s="609"/>
      <c r="M32" s="609">
        <v>77507.009999999995</v>
      </c>
      <c r="N32" s="609">
        <f>83204.41</f>
        <v>83204.41</v>
      </c>
      <c r="O32" s="612">
        <v>83166.069999999992</v>
      </c>
      <c r="P32" s="611">
        <v>77507.009999999995</v>
      </c>
      <c r="Q32" s="611">
        <v>86258.41</v>
      </c>
      <c r="R32" s="611">
        <f>83166.07</f>
        <v>83166.070000000007</v>
      </c>
      <c r="S32" s="611">
        <v>82973.450000000012</v>
      </c>
      <c r="T32" s="611">
        <v>169231.86</v>
      </c>
      <c r="U32" s="611">
        <v>410346.5</v>
      </c>
      <c r="V32" s="611"/>
      <c r="W32" s="611">
        <v>-246832.04000000004</v>
      </c>
      <c r="X32" s="611">
        <f>86906.23+76608.23</f>
        <v>163514.46</v>
      </c>
      <c r="Y32" s="611">
        <v>80411.87999999999</v>
      </c>
      <c r="Z32" s="637">
        <v>80411.88</v>
      </c>
      <c r="AA32" s="611">
        <v>78423.58</v>
      </c>
      <c r="AB32" s="611"/>
      <c r="AC32" s="613"/>
      <c r="AD32" s="613"/>
      <c r="AE32" s="613"/>
      <c r="AF32" s="613"/>
      <c r="AG32" s="612">
        <f t="shared" si="0"/>
        <v>78423.579999999725</v>
      </c>
      <c r="AH32" s="601"/>
      <c r="AI32" s="476">
        <v>170915.48999999976</v>
      </c>
      <c r="AJ32" s="476">
        <v>12132.48</v>
      </c>
      <c r="AK32" s="476">
        <f t="shared" si="1"/>
        <v>952404.49</v>
      </c>
      <c r="AL32" s="537">
        <f t="shared" si="2"/>
        <v>1032763.9199999999</v>
      </c>
      <c r="AM32" s="474">
        <f t="shared" si="3"/>
        <v>78423.579999999842</v>
      </c>
      <c r="AN32" s="327">
        <f t="shared" si="4"/>
        <v>0</v>
      </c>
      <c r="AO32" s="589"/>
    </row>
    <row r="33" spans="1:40" s="538" customFormat="1" x14ac:dyDescent="0.45">
      <c r="A33" s="691" t="s">
        <v>335</v>
      </c>
      <c r="B33" s="609">
        <v>1627473.8600000069</v>
      </c>
      <c r="C33" s="610">
        <v>20482.84</v>
      </c>
      <c r="D33" s="609"/>
      <c r="E33" s="609">
        <v>1566132.42</v>
      </c>
      <c r="F33" s="609">
        <v>1622410.86</v>
      </c>
      <c r="G33" s="611">
        <v>1577303.16</v>
      </c>
      <c r="H33" s="609">
        <f>1566132.42</f>
        <v>1566132.42</v>
      </c>
      <c r="I33" s="609">
        <v>1673941.55</v>
      </c>
      <c r="J33" s="609">
        <f>1577303.16+1673941.55+3834.9</f>
        <v>3255079.61</v>
      </c>
      <c r="K33" s="609">
        <v>1716813.2200000002</v>
      </c>
      <c r="L33" s="609">
        <v>1716813.22</v>
      </c>
      <c r="M33" s="611">
        <v>1881117.6</v>
      </c>
      <c r="N33" s="609"/>
      <c r="O33" s="612">
        <v>1888724.49</v>
      </c>
      <c r="P33" s="611">
        <f>7787.62+1861745.04</f>
        <v>1869532.6600000001</v>
      </c>
      <c r="Q33" s="611">
        <v>1770678.5500000003</v>
      </c>
      <c r="R33" s="611">
        <v>3655568.14</v>
      </c>
      <c r="S33" s="611">
        <v>1949903.02</v>
      </c>
      <c r="T33" s="611">
        <v>1412033.72</v>
      </c>
      <c r="U33" s="611">
        <v>1812822.28</v>
      </c>
      <c r="V33" s="611">
        <f>1812822.28</f>
        <v>1812822.28</v>
      </c>
      <c r="W33" s="611">
        <v>1544619.4600000002</v>
      </c>
      <c r="X33" s="611">
        <f>537869.3</f>
        <v>537869.30000000005</v>
      </c>
      <c r="Y33" s="614">
        <v>2686467.75</v>
      </c>
      <c r="Z33" s="611">
        <f>1372797.53+164986.39+2686467.75</f>
        <v>4224251.67</v>
      </c>
      <c r="AA33" s="611">
        <v>1896323.4000000001</v>
      </c>
      <c r="AB33" s="611"/>
      <c r="AC33" s="613"/>
      <c r="AD33" s="613"/>
      <c r="AE33" s="613"/>
      <c r="AF33" s="613"/>
      <c r="AG33" s="612">
        <f t="shared" si="0"/>
        <v>1899324.0400000073</v>
      </c>
      <c r="AH33" s="601"/>
      <c r="AI33" s="476">
        <v>1627473.8600000069</v>
      </c>
      <c r="AJ33" s="476">
        <v>20482.84</v>
      </c>
      <c r="AK33" s="476">
        <f t="shared" si="1"/>
        <v>21964846.899999999</v>
      </c>
      <c r="AL33" s="537">
        <f t="shared" si="2"/>
        <v>21672513.880000003</v>
      </c>
      <c r="AM33" s="474">
        <f t="shared" si="3"/>
        <v>1899324.0400000028</v>
      </c>
      <c r="AN33" s="327">
        <f t="shared" si="4"/>
        <v>0</v>
      </c>
    </row>
    <row r="34" spans="1:40" s="538" customFormat="1" x14ac:dyDescent="0.45">
      <c r="A34" s="691" t="s">
        <v>186</v>
      </c>
      <c r="B34" s="609">
        <v>154860.66000000096</v>
      </c>
      <c r="C34" s="610"/>
      <c r="D34" s="609">
        <v>154860.66</v>
      </c>
      <c r="E34" s="609">
        <v>74769.16</v>
      </c>
      <c r="F34" s="609"/>
      <c r="G34" s="611">
        <v>70879.539999999994</v>
      </c>
      <c r="H34" s="609">
        <f>74769.16+70879.54</f>
        <v>145648.70000000001</v>
      </c>
      <c r="I34" s="609">
        <v>72913.7</v>
      </c>
      <c r="J34" s="609">
        <f>72913.7</f>
        <v>72913.7</v>
      </c>
      <c r="K34" s="609">
        <v>63513.159999999996</v>
      </c>
      <c r="L34" s="609">
        <v>63513.16</v>
      </c>
      <c r="M34" s="609">
        <v>84210.15</v>
      </c>
      <c r="N34" s="609">
        <v>84210.15</v>
      </c>
      <c r="O34" s="612">
        <v>72566.98</v>
      </c>
      <c r="P34" s="611">
        <v>72566.98</v>
      </c>
      <c r="Q34" s="611">
        <v>75850.010000000009</v>
      </c>
      <c r="R34" s="611">
        <v>75850.009999999995</v>
      </c>
      <c r="S34" s="611">
        <v>72133.8</v>
      </c>
      <c r="T34" s="611">
        <v>72133.8</v>
      </c>
      <c r="U34" s="611">
        <v>82887.7</v>
      </c>
      <c r="V34" s="611">
        <f>82887.7</f>
        <v>82887.7</v>
      </c>
      <c r="W34" s="611">
        <v>64466.049999999996</v>
      </c>
      <c r="X34" s="611">
        <v>64466.05</v>
      </c>
      <c r="Y34" s="611">
        <v>63727.96</v>
      </c>
      <c r="Z34" s="611"/>
      <c r="AA34" s="611">
        <v>66675.08</v>
      </c>
      <c r="AB34" s="611"/>
      <c r="AC34" s="613"/>
      <c r="AD34" s="613"/>
      <c r="AE34" s="613"/>
      <c r="AF34" s="613"/>
      <c r="AG34" s="612">
        <f t="shared" si="0"/>
        <v>130403.04000000094</v>
      </c>
      <c r="AH34" s="601"/>
      <c r="AI34" s="476">
        <v>154860.66000000096</v>
      </c>
      <c r="AJ34" s="476"/>
      <c r="AK34" s="476">
        <f t="shared" si="1"/>
        <v>864593.28999999992</v>
      </c>
      <c r="AL34" s="537">
        <f t="shared" si="2"/>
        <v>889050.91</v>
      </c>
      <c r="AM34" s="474">
        <f t="shared" si="3"/>
        <v>130403.04000000085</v>
      </c>
      <c r="AN34" s="327">
        <f t="shared" si="4"/>
        <v>0</v>
      </c>
    </row>
    <row r="35" spans="1:40" s="538" customFormat="1" x14ac:dyDescent="0.45">
      <c r="A35" s="691" t="s">
        <v>39</v>
      </c>
      <c r="B35" s="609">
        <v>2493159.2200000007</v>
      </c>
      <c r="C35" s="610">
        <v>998365.37</v>
      </c>
      <c r="D35" s="609">
        <v>890823.49</v>
      </c>
      <c r="E35" s="614">
        <v>449292.62</v>
      </c>
      <c r="F35" s="609">
        <v>409957.98</v>
      </c>
      <c r="G35" s="611">
        <v>481480.41</v>
      </c>
      <c r="H35" s="609"/>
      <c r="I35" s="615">
        <v>438737.13</v>
      </c>
      <c r="J35" s="609">
        <f>470590.41+438402.62</f>
        <v>908993.03</v>
      </c>
      <c r="K35" s="609">
        <v>540009.34</v>
      </c>
      <c r="L35" s="609">
        <f>438737.13</f>
        <v>438737.13</v>
      </c>
      <c r="M35" s="609">
        <v>300192.65999999997</v>
      </c>
      <c r="N35" s="609">
        <f>539642.89</f>
        <v>539642.89</v>
      </c>
      <c r="O35" s="612">
        <v>425554.39999999997</v>
      </c>
      <c r="P35" s="611"/>
      <c r="Q35" s="611">
        <v>413536.62</v>
      </c>
      <c r="R35" s="611">
        <f>105629.79+300192.66+43318.59+27920.32+11232.2</f>
        <v>488293.55999999994</v>
      </c>
      <c r="S35" s="575">
        <v>403052.52</v>
      </c>
      <c r="T35" s="611">
        <v>867148.95000000007</v>
      </c>
      <c r="U35" s="611">
        <v>410550.22</v>
      </c>
      <c r="V35" s="611"/>
      <c r="W35" s="611">
        <v>388267.02999999997</v>
      </c>
      <c r="X35" s="611">
        <v>403052.52</v>
      </c>
      <c r="Y35" s="611">
        <v>476345.61</v>
      </c>
      <c r="Z35" s="611">
        <v>870626.4</v>
      </c>
      <c r="AA35" s="611">
        <v>452864.76</v>
      </c>
      <c r="AB35" s="611"/>
      <c r="AC35" s="613"/>
      <c r="AD35" s="613"/>
      <c r="AE35" s="613"/>
      <c r="AF35" s="613"/>
      <c r="AG35" s="612">
        <f t="shared" si="0"/>
        <v>857401.22000000032</v>
      </c>
      <c r="AH35" s="601"/>
      <c r="AI35" s="476">
        <v>2493159.2200000007</v>
      </c>
      <c r="AJ35" s="476">
        <v>998365.37</v>
      </c>
      <c r="AK35" s="476">
        <f t="shared" si="1"/>
        <v>5179883.32</v>
      </c>
      <c r="AL35" s="537">
        <f t="shared" si="2"/>
        <v>5817275.9500000011</v>
      </c>
      <c r="AM35" s="474">
        <f t="shared" si="3"/>
        <v>857401.21999999974</v>
      </c>
      <c r="AN35" s="327">
        <f t="shared" si="4"/>
        <v>0</v>
      </c>
    </row>
    <row r="36" spans="1:40" s="538" customFormat="1" x14ac:dyDescent="0.45">
      <c r="A36" s="691" t="s">
        <v>73</v>
      </c>
      <c r="B36" s="609">
        <v>1258186.6300000008</v>
      </c>
      <c r="C36" s="610"/>
      <c r="D36" s="609"/>
      <c r="E36" s="615">
        <v>423081.46</v>
      </c>
      <c r="F36" s="615">
        <v>461170.21</v>
      </c>
      <c r="G36" s="616">
        <v>400594.70999999996</v>
      </c>
      <c r="H36" s="615">
        <v>411721.46</v>
      </c>
      <c r="I36" s="615">
        <v>424708.63</v>
      </c>
      <c r="J36" s="615">
        <f>389234.71+413348.63</f>
        <v>802583.34000000008</v>
      </c>
      <c r="K36" s="617">
        <v>394317.49999999994</v>
      </c>
      <c r="L36" s="617"/>
      <c r="M36" s="617">
        <v>407975.96</v>
      </c>
      <c r="N36" s="617">
        <f>382957.5</f>
        <v>382957.5</v>
      </c>
      <c r="O36" s="612">
        <v>384970.80000000005</v>
      </c>
      <c r="P36" s="611">
        <f>372675.62+396615.96</f>
        <v>769291.58000000007</v>
      </c>
      <c r="Q36" s="611">
        <v>381352.09</v>
      </c>
      <c r="R36" s="611"/>
      <c r="S36" s="611">
        <v>382817.16000000003</v>
      </c>
      <c r="T36" s="611">
        <f>369992.09</f>
        <v>369992.09</v>
      </c>
      <c r="U36" s="611">
        <v>379308.15999999992</v>
      </c>
      <c r="V36" s="611"/>
      <c r="W36" s="611">
        <v>325912.39999999997</v>
      </c>
      <c r="X36" s="611">
        <f>371457.16+379308.16+325912.4</f>
        <v>1076677.72</v>
      </c>
      <c r="Y36" s="611">
        <v>381638.14</v>
      </c>
      <c r="Z36" s="637">
        <f>12375.81+381638.14</f>
        <v>394013.95</v>
      </c>
      <c r="AA36" s="611">
        <v>339271.89</v>
      </c>
      <c r="AB36" s="611"/>
      <c r="AC36" s="613"/>
      <c r="AD36" s="613"/>
      <c r="AE36" s="613"/>
      <c r="AF36" s="613"/>
      <c r="AG36" s="612">
        <f t="shared" si="0"/>
        <v>1215727.6800000002</v>
      </c>
      <c r="AH36" s="601"/>
      <c r="AI36" s="476">
        <v>1258186.6300000008</v>
      </c>
      <c r="AJ36" s="476"/>
      <c r="AK36" s="476">
        <f t="shared" si="1"/>
        <v>4625948.8999999994</v>
      </c>
      <c r="AL36" s="537">
        <f t="shared" si="2"/>
        <v>4668407.8500000006</v>
      </c>
      <c r="AM36" s="474">
        <f t="shared" si="3"/>
        <v>1215727.6799999997</v>
      </c>
      <c r="AN36" s="327">
        <f t="shared" si="4"/>
        <v>0</v>
      </c>
    </row>
    <row r="37" spans="1:40" s="538" customFormat="1" x14ac:dyDescent="0.45">
      <c r="A37" s="691" t="s">
        <v>44</v>
      </c>
      <c r="B37" s="609">
        <v>-5.8207660913467407E-10</v>
      </c>
      <c r="C37" s="610"/>
      <c r="D37" s="609"/>
      <c r="E37" s="615">
        <v>0</v>
      </c>
      <c r="F37" s="615"/>
      <c r="G37" s="616">
        <v>0</v>
      </c>
      <c r="H37" s="615"/>
      <c r="I37" s="615">
        <v>0</v>
      </c>
      <c r="J37" s="615"/>
      <c r="K37" s="617">
        <v>0</v>
      </c>
      <c r="L37" s="617"/>
      <c r="M37" s="617">
        <v>0</v>
      </c>
      <c r="N37" s="617"/>
      <c r="O37" s="612">
        <v>11511.7</v>
      </c>
      <c r="P37" s="611"/>
      <c r="Q37" s="611">
        <v>4757.12</v>
      </c>
      <c r="R37" s="611"/>
      <c r="S37" s="611">
        <v>0</v>
      </c>
      <c r="T37" s="611"/>
      <c r="U37" s="611"/>
      <c r="V37" s="611"/>
      <c r="W37" s="611">
        <v>0</v>
      </c>
      <c r="X37" s="611"/>
      <c r="Y37" s="611">
        <v>0</v>
      </c>
      <c r="Z37" s="611"/>
      <c r="AA37" s="611">
        <v>0</v>
      </c>
      <c r="AB37" s="611"/>
      <c r="AC37" s="613"/>
      <c r="AD37" s="613"/>
      <c r="AE37" s="613"/>
      <c r="AF37" s="613"/>
      <c r="AG37" s="612">
        <f t="shared" si="0"/>
        <v>16268.819999999418</v>
      </c>
      <c r="AH37" s="601"/>
      <c r="AI37" s="476">
        <v>-5.8207660913467407E-10</v>
      </c>
      <c r="AJ37" s="476"/>
      <c r="AK37" s="476">
        <f t="shared" si="1"/>
        <v>16268.82</v>
      </c>
      <c r="AL37" s="537">
        <f t="shared" si="2"/>
        <v>0</v>
      </c>
      <c r="AM37" s="474">
        <f t="shared" si="3"/>
        <v>16268.819999999418</v>
      </c>
      <c r="AN37" s="327">
        <f t="shared" si="4"/>
        <v>0</v>
      </c>
    </row>
    <row r="38" spans="1:40" s="538" customFormat="1" x14ac:dyDescent="0.45">
      <c r="A38" s="691" t="s">
        <v>42</v>
      </c>
      <c r="B38" s="609">
        <v>403464.73000000045</v>
      </c>
      <c r="C38" s="610">
        <v>12088.25</v>
      </c>
      <c r="D38" s="609"/>
      <c r="E38" s="615">
        <v>498640.34</v>
      </c>
      <c r="F38" s="615"/>
      <c r="G38" s="616">
        <v>438417.47</v>
      </c>
      <c r="H38" s="615"/>
      <c r="I38" s="615">
        <v>468599.32</v>
      </c>
      <c r="J38" s="615">
        <f>391376.48</f>
        <v>391376.48</v>
      </c>
      <c r="K38" s="617">
        <v>1461986.5700000003</v>
      </c>
      <c r="L38" s="617">
        <f>498640.34+468599.32+438417.47</f>
        <v>1405657.13</v>
      </c>
      <c r="M38" s="617">
        <v>576459.30000000005</v>
      </c>
      <c r="N38" s="617"/>
      <c r="O38" s="612">
        <v>617361.80999999994</v>
      </c>
      <c r="P38" s="611"/>
      <c r="Q38" s="611">
        <v>563801.80999999994</v>
      </c>
      <c r="R38" s="611">
        <f>617361.81</f>
        <v>617361.81000000006</v>
      </c>
      <c r="S38" s="611">
        <v>807860.79</v>
      </c>
      <c r="T38" s="611">
        <v>2038445.87</v>
      </c>
      <c r="U38" s="611">
        <v>642402.49</v>
      </c>
      <c r="V38" s="611">
        <f>563801.81</f>
        <v>563801.81000000006</v>
      </c>
      <c r="W38" s="611">
        <v>501102.65</v>
      </c>
      <c r="X38" s="611"/>
      <c r="Y38" s="611">
        <v>559698.56000000006</v>
      </c>
      <c r="Z38" s="611">
        <f>807860.79+642402.49+501102.65+559698.56</f>
        <v>2511064.4900000002</v>
      </c>
      <c r="AA38" s="611">
        <v>581274.38</v>
      </c>
      <c r="AB38" s="611"/>
      <c r="AC38" s="613"/>
      <c r="AD38" s="613"/>
      <c r="AE38" s="613"/>
      <c r="AF38" s="613"/>
      <c r="AG38" s="612">
        <f t="shared" ref="AG38:AG69" si="5">B38-C38-D38+E38-F38+G38-H38+I38-J38+K38-L38+M38-N38+O38-P38+Q38-R38+S38-T38+U38-V38+W38-X38+Y38-Z38+AA38</f>
        <v>581274.38000000094</v>
      </c>
      <c r="AH38" s="601"/>
      <c r="AI38" s="476">
        <v>403464.73000000045</v>
      </c>
      <c r="AJ38" s="476">
        <v>12088.25</v>
      </c>
      <c r="AK38" s="476">
        <f t="shared" ref="AK38:AK69" si="6">E38+G38+I38+K38+M38+O38+Q38+S38+U38+W38+Y38+AA38</f>
        <v>7717605.4900000012</v>
      </c>
      <c r="AL38" s="537">
        <f t="shared" ref="AL38:AL69" si="7">D38+F38+H38+J38+L38+N38+P38+R38+T38+V38+X38+Z38</f>
        <v>7527707.5899999999</v>
      </c>
      <c r="AM38" s="474">
        <f t="shared" si="3"/>
        <v>581274.38000000175</v>
      </c>
      <c r="AN38" s="327">
        <f t="shared" si="4"/>
        <v>0</v>
      </c>
    </row>
    <row r="39" spans="1:40" s="538" customFormat="1" x14ac:dyDescent="0.45">
      <c r="A39" s="691" t="s">
        <v>63</v>
      </c>
      <c r="B39" s="609">
        <v>-4925.8499999995111</v>
      </c>
      <c r="C39" s="610"/>
      <c r="D39" s="609"/>
      <c r="E39" s="615">
        <v>0</v>
      </c>
      <c r="F39" s="615"/>
      <c r="G39" s="616">
        <v>0</v>
      </c>
      <c r="H39" s="615"/>
      <c r="I39" s="615">
        <v>0</v>
      </c>
      <c r="J39" s="615"/>
      <c r="K39" s="617">
        <v>0</v>
      </c>
      <c r="L39" s="617"/>
      <c r="M39" s="617">
        <v>0</v>
      </c>
      <c r="N39" s="617"/>
      <c r="O39" s="612">
        <v>0</v>
      </c>
      <c r="P39" s="611"/>
      <c r="Q39" s="611">
        <v>0</v>
      </c>
      <c r="R39" s="611"/>
      <c r="S39" s="611">
        <v>0</v>
      </c>
      <c r="T39" s="611"/>
      <c r="U39" s="611"/>
      <c r="V39" s="611"/>
      <c r="W39" s="611">
        <v>0</v>
      </c>
      <c r="X39" s="611"/>
      <c r="Y39" s="611">
        <v>0</v>
      </c>
      <c r="Z39" s="611"/>
      <c r="AA39" s="611">
        <v>0</v>
      </c>
      <c r="AB39" s="611"/>
      <c r="AC39" s="613"/>
      <c r="AD39" s="613"/>
      <c r="AE39" s="613"/>
      <c r="AF39" s="613"/>
      <c r="AG39" s="612">
        <f t="shared" si="5"/>
        <v>-4925.8499999995111</v>
      </c>
      <c r="AH39" s="601"/>
      <c r="AI39" s="476">
        <v>-4925.8499999995111</v>
      </c>
      <c r="AJ39" s="476"/>
      <c r="AK39" s="476">
        <f t="shared" si="6"/>
        <v>0</v>
      </c>
      <c r="AL39" s="537">
        <f t="shared" si="7"/>
        <v>0</v>
      </c>
      <c r="AM39" s="474">
        <f t="shared" si="3"/>
        <v>-4925.8499999995111</v>
      </c>
      <c r="AN39" s="327">
        <f t="shared" si="4"/>
        <v>0</v>
      </c>
    </row>
    <row r="40" spans="1:40" s="538" customFormat="1" x14ac:dyDescent="0.45">
      <c r="A40" s="691" t="s">
        <v>60</v>
      </c>
      <c r="B40" s="609">
        <v>2347674.0790000018</v>
      </c>
      <c r="C40" s="610"/>
      <c r="D40" s="609">
        <v>2904496.4000000004</v>
      </c>
      <c r="E40" s="615">
        <v>1094404.98</v>
      </c>
      <c r="F40" s="615"/>
      <c r="G40" s="616">
        <v>982169.69000000006</v>
      </c>
      <c r="H40" s="615">
        <f>1094404.98</f>
        <v>1094404.98</v>
      </c>
      <c r="I40" s="615">
        <v>977512.33</v>
      </c>
      <c r="J40" s="615">
        <f>982169.69+977512.33</f>
        <v>1959682.02</v>
      </c>
      <c r="K40" s="617">
        <v>1050265.73</v>
      </c>
      <c r="L40" s="617"/>
      <c r="M40" s="617">
        <v>985316.23</v>
      </c>
      <c r="N40" s="617">
        <v>1050265.73</v>
      </c>
      <c r="O40" s="612">
        <v>979314.61</v>
      </c>
      <c r="P40" s="611">
        <v>1964630.8399999999</v>
      </c>
      <c r="Q40" s="611">
        <v>927488.21</v>
      </c>
      <c r="R40" s="611">
        <v>927488.21</v>
      </c>
      <c r="S40" s="611">
        <v>1005120.3400000001</v>
      </c>
      <c r="T40" s="611"/>
      <c r="U40" s="611">
        <v>940797.55</v>
      </c>
      <c r="V40" s="611">
        <f>1005120.34+940797.55</f>
        <v>1945917.8900000001</v>
      </c>
      <c r="W40" s="611">
        <v>825109.41</v>
      </c>
      <c r="X40" s="611">
        <f>825109.41</f>
        <v>825109.41</v>
      </c>
      <c r="Y40" s="618">
        <v>905673.88</v>
      </c>
      <c r="Z40" s="611"/>
      <c r="AA40" s="611">
        <v>902712.69000000006</v>
      </c>
      <c r="AB40" s="611"/>
      <c r="AC40" s="613"/>
      <c r="AD40" s="613"/>
      <c r="AE40" s="613"/>
      <c r="AF40" s="613"/>
      <c r="AG40" s="612">
        <f t="shared" si="5"/>
        <v>1251564.2490000015</v>
      </c>
      <c r="AH40" s="601"/>
      <c r="AI40" s="476">
        <v>2347674.0790000018</v>
      </c>
      <c r="AJ40" s="476"/>
      <c r="AK40" s="476">
        <f t="shared" si="6"/>
        <v>11575885.65</v>
      </c>
      <c r="AL40" s="537">
        <f t="shared" si="7"/>
        <v>12671995.48</v>
      </c>
      <c r="AM40" s="474">
        <f t="shared" si="3"/>
        <v>1251564.2490000017</v>
      </c>
      <c r="AN40" s="327">
        <f t="shared" si="4"/>
        <v>0</v>
      </c>
    </row>
    <row r="41" spans="1:40" s="538" customFormat="1" x14ac:dyDescent="0.45">
      <c r="A41" s="691" t="s">
        <v>71</v>
      </c>
      <c r="B41" s="609">
        <v>618533.78999999957</v>
      </c>
      <c r="C41" s="610">
        <v>483614.57</v>
      </c>
      <c r="D41" s="609">
        <v>134919.22</v>
      </c>
      <c r="E41" s="615">
        <v>99038.81</v>
      </c>
      <c r="F41" s="615"/>
      <c r="G41" s="616">
        <v>88572.459999999992</v>
      </c>
      <c r="H41" s="615">
        <v>187611.27000000002</v>
      </c>
      <c r="I41" s="615">
        <v>96436.749999999985</v>
      </c>
      <c r="J41" s="615">
        <f>96436.75</f>
        <v>96436.75</v>
      </c>
      <c r="K41" s="617">
        <v>92413.14</v>
      </c>
      <c r="L41" s="617">
        <f>92413.14</f>
        <v>92413.14</v>
      </c>
      <c r="M41" s="617">
        <v>93810.92</v>
      </c>
      <c r="N41" s="617">
        <v>93810.92</v>
      </c>
      <c r="O41" s="612">
        <v>91698.670000000013</v>
      </c>
      <c r="P41" s="611"/>
      <c r="Q41" s="611">
        <v>66666.2</v>
      </c>
      <c r="R41" s="611">
        <f>158364.87</f>
        <v>158364.87</v>
      </c>
      <c r="S41" s="611">
        <v>76407.549999999988</v>
      </c>
      <c r="T41" s="611"/>
      <c r="U41" s="611">
        <v>81712.37</v>
      </c>
      <c r="V41" s="611">
        <v>76407.55</v>
      </c>
      <c r="W41" s="611">
        <v>55921.19</v>
      </c>
      <c r="X41" s="611"/>
      <c r="Y41" s="611">
        <v>37131.329999999994</v>
      </c>
      <c r="Z41" s="611"/>
      <c r="AA41" s="611">
        <v>35037.299999999996</v>
      </c>
      <c r="AB41" s="611"/>
      <c r="AC41" s="613"/>
      <c r="AD41" s="613"/>
      <c r="AE41" s="613"/>
      <c r="AF41" s="613"/>
      <c r="AG41" s="612">
        <f t="shared" si="5"/>
        <v>209802.18999999951</v>
      </c>
      <c r="AH41" s="601"/>
      <c r="AI41" s="476">
        <v>618533.78999999957</v>
      </c>
      <c r="AJ41" s="476">
        <v>483614.57</v>
      </c>
      <c r="AK41" s="476">
        <f t="shared" si="6"/>
        <v>914846.69000000006</v>
      </c>
      <c r="AL41" s="537">
        <f t="shared" si="7"/>
        <v>839963.72000000009</v>
      </c>
      <c r="AM41" s="474">
        <f t="shared" si="3"/>
        <v>209802.18999999959</v>
      </c>
      <c r="AN41" s="327">
        <f t="shared" si="4"/>
        <v>0</v>
      </c>
    </row>
    <row r="42" spans="1:40" s="538" customFormat="1" x14ac:dyDescent="0.45">
      <c r="A42" s="691" t="s">
        <v>88</v>
      </c>
      <c r="B42" s="609">
        <v>7698</v>
      </c>
      <c r="C42" s="610">
        <v>123168</v>
      </c>
      <c r="D42" s="609"/>
      <c r="E42" s="615">
        <v>100074</v>
      </c>
      <c r="F42" s="615"/>
      <c r="G42" s="616">
        <v>0</v>
      </c>
      <c r="H42" s="615"/>
      <c r="I42" s="615">
        <v>0</v>
      </c>
      <c r="J42" s="615"/>
      <c r="K42" s="617">
        <v>7698</v>
      </c>
      <c r="L42" s="617"/>
      <c r="M42" s="617">
        <v>7698</v>
      </c>
      <c r="N42" s="617"/>
      <c r="O42" s="612">
        <v>0</v>
      </c>
      <c r="P42" s="611"/>
      <c r="Q42" s="611">
        <v>0</v>
      </c>
      <c r="R42" s="611"/>
      <c r="S42" s="611">
        <v>0</v>
      </c>
      <c r="T42" s="611"/>
      <c r="U42" s="611"/>
      <c r="V42" s="611"/>
      <c r="W42" s="611">
        <v>0</v>
      </c>
      <c r="X42" s="611"/>
      <c r="Y42" s="611">
        <v>0</v>
      </c>
      <c r="Z42" s="611"/>
      <c r="AA42" s="611">
        <v>0</v>
      </c>
      <c r="AB42" s="611"/>
      <c r="AC42" s="613"/>
      <c r="AD42" s="613"/>
      <c r="AE42" s="613"/>
      <c r="AF42" s="613"/>
      <c r="AG42" s="612">
        <f t="shared" si="5"/>
        <v>0</v>
      </c>
      <c r="AH42" s="601"/>
      <c r="AI42" s="476">
        <v>7698</v>
      </c>
      <c r="AJ42" s="476">
        <v>123168</v>
      </c>
      <c r="AK42" s="476">
        <f t="shared" si="6"/>
        <v>115470</v>
      </c>
      <c r="AL42" s="537">
        <f t="shared" si="7"/>
        <v>0</v>
      </c>
      <c r="AM42" s="474">
        <f t="shared" si="3"/>
        <v>0</v>
      </c>
      <c r="AN42" s="327">
        <f t="shared" si="4"/>
        <v>0</v>
      </c>
    </row>
    <row r="43" spans="1:40" s="538" customFormat="1" x14ac:dyDescent="0.45">
      <c r="A43" s="691" t="s">
        <v>336</v>
      </c>
      <c r="B43" s="609">
        <v>13683.910000000324</v>
      </c>
      <c r="C43" s="610">
        <v>5854.42</v>
      </c>
      <c r="D43" s="609">
        <v>8413.41</v>
      </c>
      <c r="E43" s="615">
        <v>7162.66</v>
      </c>
      <c r="F43" s="615"/>
      <c r="G43" s="616">
        <v>4518.9399999999996</v>
      </c>
      <c r="H43" s="615"/>
      <c r="I43" s="615">
        <v>74801.72</v>
      </c>
      <c r="J43" s="615">
        <f>4518.94+7162.66</f>
        <v>11681.599999999999</v>
      </c>
      <c r="K43" s="617">
        <v>-46801.07</v>
      </c>
      <c r="L43" s="617">
        <v>17776.689999999999</v>
      </c>
      <c r="M43" s="617">
        <v>21251.22</v>
      </c>
      <c r="N43" s="617"/>
      <c r="O43" s="612">
        <v>3566.81</v>
      </c>
      <c r="P43" s="611">
        <f>9640.04</f>
        <v>9640.0400000000009</v>
      </c>
      <c r="Q43" s="611">
        <v>3697.91</v>
      </c>
      <c r="R43" s="611">
        <f>24818.03+3697.91</f>
        <v>28515.94</v>
      </c>
      <c r="S43" s="611">
        <v>11445.83</v>
      </c>
      <c r="T43" s="611"/>
      <c r="U43" s="611">
        <v>22.61</v>
      </c>
      <c r="V43" s="611"/>
      <c r="W43" s="611">
        <v>8312.8799999999992</v>
      </c>
      <c r="X43" s="611"/>
      <c r="Y43" s="611">
        <v>3731.5299999999997</v>
      </c>
      <c r="Z43" s="611">
        <f>19748.28</f>
        <v>19748.28</v>
      </c>
      <c r="AA43" s="611">
        <v>5453.84</v>
      </c>
      <c r="AB43" s="611"/>
      <c r="AC43" s="613"/>
      <c r="AD43" s="613"/>
      <c r="AE43" s="613"/>
      <c r="AF43" s="613"/>
      <c r="AG43" s="612">
        <f t="shared" si="5"/>
        <v>9218.4100000003418</v>
      </c>
      <c r="AH43" s="601"/>
      <c r="AI43" s="476">
        <v>13683.910000000324</v>
      </c>
      <c r="AJ43" s="476">
        <v>5854.42</v>
      </c>
      <c r="AK43" s="476">
        <f t="shared" si="6"/>
        <v>97164.88</v>
      </c>
      <c r="AL43" s="537">
        <f t="shared" si="7"/>
        <v>95775.959999999992</v>
      </c>
      <c r="AM43" s="474">
        <f t="shared" si="3"/>
        <v>9218.4100000003382</v>
      </c>
      <c r="AN43" s="327">
        <f t="shared" si="4"/>
        <v>0</v>
      </c>
    </row>
    <row r="44" spans="1:40" s="538" customFormat="1" x14ac:dyDescent="0.45">
      <c r="A44" s="691" t="s">
        <v>50</v>
      </c>
      <c r="B44" s="609">
        <v>677873.21</v>
      </c>
      <c r="C44" s="610"/>
      <c r="D44" s="609"/>
      <c r="E44" s="615">
        <v>225500.7</v>
      </c>
      <c r="F44" s="615"/>
      <c r="G44" s="616">
        <v>224171.15</v>
      </c>
      <c r="H44" s="615">
        <v>675617.58</v>
      </c>
      <c r="I44" s="615">
        <v>227452.63999999998</v>
      </c>
      <c r="J44" s="615"/>
      <c r="K44" s="617">
        <v>225516.24</v>
      </c>
      <c r="L44" s="617">
        <f>41676.06+1529.53</f>
        <v>43205.59</v>
      </c>
      <c r="M44" s="617">
        <v>232208.69</v>
      </c>
      <c r="N44" s="617">
        <f>409763.29+232208.69</f>
        <v>641971.98</v>
      </c>
      <c r="O44" s="612">
        <v>238024.58000000002</v>
      </c>
      <c r="P44" s="611">
        <v>238024.58000000002</v>
      </c>
      <c r="Q44" s="611">
        <v>223278.61</v>
      </c>
      <c r="R44" s="611"/>
      <c r="S44" s="611">
        <v>229134.48</v>
      </c>
      <c r="T44" s="611">
        <v>452413.08999999997</v>
      </c>
      <c r="U44" s="611">
        <v>223741.43999999997</v>
      </c>
      <c r="V44" s="611">
        <f>223741.44</f>
        <v>223741.44</v>
      </c>
      <c r="W44" s="611">
        <v>213482</v>
      </c>
      <c r="X44" s="611"/>
      <c r="Y44" s="611">
        <v>376746.32</v>
      </c>
      <c r="Z44" s="611">
        <f>213482</f>
        <v>213482</v>
      </c>
      <c r="AA44" s="611">
        <v>246372.01</v>
      </c>
      <c r="AB44" s="611"/>
      <c r="AC44" s="613"/>
      <c r="AD44" s="613"/>
      <c r="AE44" s="613"/>
      <c r="AF44" s="613"/>
      <c r="AG44" s="612">
        <f t="shared" si="5"/>
        <v>1075045.81</v>
      </c>
      <c r="AH44" s="601"/>
      <c r="AI44" s="476">
        <v>677873.21</v>
      </c>
      <c r="AJ44" s="476"/>
      <c r="AK44" s="476">
        <f t="shared" si="6"/>
        <v>2885628.8599999994</v>
      </c>
      <c r="AL44" s="537">
        <f t="shared" si="7"/>
        <v>2488456.2599999998</v>
      </c>
      <c r="AM44" s="474">
        <f t="shared" si="3"/>
        <v>1075045.8099999996</v>
      </c>
      <c r="AN44" s="327">
        <f t="shared" si="4"/>
        <v>0</v>
      </c>
    </row>
    <row r="45" spans="1:40" s="538" customFormat="1" x14ac:dyDescent="0.45">
      <c r="A45" s="691" t="s">
        <v>417</v>
      </c>
      <c r="B45" s="609">
        <v>103231.93999999994</v>
      </c>
      <c r="C45" s="610"/>
      <c r="D45" s="609"/>
      <c r="E45" s="615">
        <v>77160.72</v>
      </c>
      <c r="F45" s="615">
        <f>8962.27+28995.62+25255.68+12041.56</f>
        <v>75255.13</v>
      </c>
      <c r="G45" s="616">
        <v>70614.320000000007</v>
      </c>
      <c r="H45" s="615">
        <v>79764.040000000008</v>
      </c>
      <c r="I45" s="615">
        <v>41692.92</v>
      </c>
      <c r="J45" s="615">
        <f>53017.32+17598+29061.04</f>
        <v>99676.360000000015</v>
      </c>
      <c r="K45" s="617">
        <v>1373.1</v>
      </c>
      <c r="L45" s="617">
        <f>26875.29+13988+1373.1</f>
        <v>42236.39</v>
      </c>
      <c r="M45" s="617">
        <v>0</v>
      </c>
      <c r="N45" s="617"/>
      <c r="O45" s="612">
        <v>0</v>
      </c>
      <c r="P45" s="611"/>
      <c r="Q45" s="611">
        <v>0</v>
      </c>
      <c r="R45" s="611"/>
      <c r="S45" s="611">
        <v>0</v>
      </c>
      <c r="T45" s="611"/>
      <c r="U45" s="611"/>
      <c r="V45" s="611"/>
      <c r="W45" s="611">
        <v>0</v>
      </c>
      <c r="X45" s="611"/>
      <c r="Y45" s="611">
        <v>0</v>
      </c>
      <c r="Z45" s="611"/>
      <c r="AA45" s="611">
        <v>0</v>
      </c>
      <c r="AB45" s="611"/>
      <c r="AC45" s="613"/>
      <c r="AD45" s="613"/>
      <c r="AE45" s="613"/>
      <c r="AF45" s="613"/>
      <c r="AG45" s="612">
        <f t="shared" si="5"/>
        <v>-2858.9200000000928</v>
      </c>
      <c r="AH45" s="601"/>
      <c r="AI45" s="476">
        <v>103231.93999999994</v>
      </c>
      <c r="AJ45" s="476"/>
      <c r="AK45" s="476">
        <f t="shared" si="6"/>
        <v>190841.06000000003</v>
      </c>
      <c r="AL45" s="537">
        <f t="shared" si="7"/>
        <v>296931.92000000004</v>
      </c>
      <c r="AM45" s="474">
        <f t="shared" si="3"/>
        <v>-2858.9200000000419</v>
      </c>
      <c r="AN45" s="327">
        <f t="shared" si="4"/>
        <v>0</v>
      </c>
    </row>
    <row r="46" spans="1:40" s="538" customFormat="1" x14ac:dyDescent="0.45">
      <c r="A46" s="691" t="s">
        <v>46</v>
      </c>
      <c r="B46" s="609">
        <v>512015.56999999972</v>
      </c>
      <c r="C46" s="610">
        <v>68390.58</v>
      </c>
      <c r="D46" s="609">
        <v>470361.93</v>
      </c>
      <c r="E46" s="615">
        <v>185843.61</v>
      </c>
      <c r="F46" s="615"/>
      <c r="G46" s="616">
        <v>147093.19</v>
      </c>
      <c r="H46" s="615">
        <f>185843.61</f>
        <v>185843.61</v>
      </c>
      <c r="I46" s="615">
        <v>158645.01</v>
      </c>
      <c r="J46" s="615">
        <f>147093.19+158645.01</f>
        <v>305738.2</v>
      </c>
      <c r="K46" s="617">
        <v>143850.48000000001</v>
      </c>
      <c r="L46" s="617"/>
      <c r="M46" s="617">
        <v>170946.30000000002</v>
      </c>
      <c r="N46" s="617">
        <f>136423.97+170946.3</f>
        <v>307370.27</v>
      </c>
      <c r="O46" s="612">
        <v>143640.5</v>
      </c>
      <c r="P46" s="611">
        <v>137327.87</v>
      </c>
      <c r="Q46" s="611">
        <v>216935.04000000001</v>
      </c>
      <c r="R46" s="611"/>
      <c r="S46" s="611">
        <v>215371.02</v>
      </c>
      <c r="T46" s="611">
        <f>213981.99</f>
        <v>213981.99</v>
      </c>
      <c r="U46" s="611">
        <v>183302.89</v>
      </c>
      <c r="V46" s="611">
        <f>205326.27</f>
        <v>205326.27</v>
      </c>
      <c r="W46" s="611">
        <v>66940.680000000008</v>
      </c>
      <c r="X46" s="611">
        <f>172923.32+66605.86</f>
        <v>239529.18</v>
      </c>
      <c r="Y46" s="611">
        <v>578798.92000000004</v>
      </c>
      <c r="Z46" s="611"/>
      <c r="AA46" s="611">
        <v>212174.28</v>
      </c>
      <c r="AB46" s="611"/>
      <c r="AC46" s="613"/>
      <c r="AD46" s="613"/>
      <c r="AE46" s="613"/>
      <c r="AF46" s="613"/>
      <c r="AG46" s="612">
        <f t="shared" si="5"/>
        <v>801687.58999999985</v>
      </c>
      <c r="AH46" s="601"/>
      <c r="AI46" s="476">
        <v>512015.56999999972</v>
      </c>
      <c r="AJ46" s="476">
        <v>68390.58</v>
      </c>
      <c r="AK46" s="476">
        <f t="shared" si="6"/>
        <v>2423541.92</v>
      </c>
      <c r="AL46" s="537">
        <f t="shared" si="7"/>
        <v>2065479.3199999998</v>
      </c>
      <c r="AM46" s="474">
        <f t="shared" si="3"/>
        <v>801687.58999999985</v>
      </c>
      <c r="AN46" s="327">
        <f t="shared" si="4"/>
        <v>0</v>
      </c>
    </row>
    <row r="47" spans="1:40" s="538" customFormat="1" x14ac:dyDescent="0.45">
      <c r="A47" s="691" t="s">
        <v>59</v>
      </c>
      <c r="B47" s="609">
        <v>118282.30999999998</v>
      </c>
      <c r="C47" s="610">
        <v>92853.46</v>
      </c>
      <c r="D47" s="609">
        <v>9897.93</v>
      </c>
      <c r="E47" s="615">
        <v>18105.080000000002</v>
      </c>
      <c r="F47" s="615"/>
      <c r="G47" s="616">
        <v>-22800.639999999999</v>
      </c>
      <c r="H47" s="615">
        <f>10835.36</f>
        <v>10835.36</v>
      </c>
      <c r="I47" s="615">
        <v>13309.74</v>
      </c>
      <c r="J47" s="615">
        <v>13309.74</v>
      </c>
      <c r="K47" s="617">
        <v>10982.99</v>
      </c>
      <c r="L47" s="617">
        <v>10982.99</v>
      </c>
      <c r="M47" s="617">
        <v>9596.91</v>
      </c>
      <c r="N47" s="617">
        <v>9596.91</v>
      </c>
      <c r="O47" s="612">
        <v>11487.76</v>
      </c>
      <c r="P47" s="611"/>
      <c r="Q47" s="611">
        <v>10173.33</v>
      </c>
      <c r="R47" s="611">
        <f>11487.76+10173.33</f>
        <v>21661.09</v>
      </c>
      <c r="S47" s="611">
        <v>10805.96</v>
      </c>
      <c r="T47" s="611">
        <v>10805.96</v>
      </c>
      <c r="U47" s="611">
        <v>9503.2200000000012</v>
      </c>
      <c r="V47" s="611">
        <v>9503.2199999999993</v>
      </c>
      <c r="W47" s="611">
        <v>7947</v>
      </c>
      <c r="X47" s="611">
        <v>7947</v>
      </c>
      <c r="Y47" s="611">
        <v>10054.65</v>
      </c>
      <c r="Z47" s="611">
        <v>10054.65</v>
      </c>
      <c r="AA47" s="611">
        <v>10129.970000000001</v>
      </c>
      <c r="AB47" s="611"/>
      <c r="AC47" s="613"/>
      <c r="AD47" s="613"/>
      <c r="AE47" s="613"/>
      <c r="AF47" s="613"/>
      <c r="AG47" s="612">
        <f t="shared" si="5"/>
        <v>10129.969999999981</v>
      </c>
      <c r="AH47" s="601"/>
      <c r="AI47" s="476">
        <v>118282.30999999998</v>
      </c>
      <c r="AJ47" s="476">
        <v>92853.46</v>
      </c>
      <c r="AK47" s="476">
        <f t="shared" si="6"/>
        <v>99295.97</v>
      </c>
      <c r="AL47" s="537">
        <f t="shared" si="7"/>
        <v>114594.84999999998</v>
      </c>
      <c r="AM47" s="474">
        <f t="shared" si="3"/>
        <v>10129.970000000001</v>
      </c>
      <c r="AN47" s="327">
        <f t="shared" si="4"/>
        <v>0</v>
      </c>
    </row>
    <row r="48" spans="1:40" s="538" customFormat="1" x14ac:dyDescent="0.45">
      <c r="A48" s="691" t="s">
        <v>500</v>
      </c>
      <c r="B48" s="609">
        <v>306626.85000000009</v>
      </c>
      <c r="C48" s="610"/>
      <c r="D48" s="609">
        <v>301719.84999999998</v>
      </c>
      <c r="E48" s="615">
        <v>308092.83</v>
      </c>
      <c r="F48" s="615"/>
      <c r="G48" s="616">
        <v>295204.05</v>
      </c>
      <c r="H48" s="615">
        <f>308092.83</f>
        <v>308092.83</v>
      </c>
      <c r="I48" s="615">
        <v>293300.98</v>
      </c>
      <c r="J48" s="615">
        <f>295204.05+293300.98</f>
        <v>588505.03</v>
      </c>
      <c r="K48" s="617">
        <v>330958.78000000003</v>
      </c>
      <c r="L48" s="617">
        <f>4907+330958.78</f>
        <v>335865.78</v>
      </c>
      <c r="M48" s="617">
        <v>316810.90000000002</v>
      </c>
      <c r="N48" s="617">
        <v>316810.90000000002</v>
      </c>
      <c r="O48" s="612">
        <v>321113.90000000002</v>
      </c>
      <c r="P48" s="611">
        <v>321113.90000000002</v>
      </c>
      <c r="Q48" s="611">
        <v>284241.86</v>
      </c>
      <c r="R48" s="611"/>
      <c r="S48" s="611">
        <v>316761.30000000005</v>
      </c>
      <c r="T48" s="611">
        <v>601003.15999999992</v>
      </c>
      <c r="U48" s="611">
        <v>324386.88</v>
      </c>
      <c r="V48" s="611">
        <v>324386.88</v>
      </c>
      <c r="W48" s="611">
        <v>305060.67000000004</v>
      </c>
      <c r="X48" s="611"/>
      <c r="Y48" s="611">
        <v>318791.83999999997</v>
      </c>
      <c r="Z48" s="618">
        <f>318791.84+305060.67+239327</f>
        <v>863179.51</v>
      </c>
      <c r="AA48" s="611">
        <v>314599.96000000002</v>
      </c>
      <c r="AB48" s="611"/>
      <c r="AC48" s="613"/>
      <c r="AD48" s="613"/>
      <c r="AE48" s="613"/>
      <c r="AF48" s="613"/>
      <c r="AG48" s="612">
        <f t="shared" si="5"/>
        <v>75272.960000000137</v>
      </c>
      <c r="AH48" s="601"/>
      <c r="AI48" s="476">
        <v>306626.85000000009</v>
      </c>
      <c r="AJ48" s="476"/>
      <c r="AK48" s="476">
        <f t="shared" si="6"/>
        <v>3729323.9499999993</v>
      </c>
      <c r="AL48" s="537">
        <f t="shared" si="7"/>
        <v>3960677.84</v>
      </c>
      <c r="AM48" s="474">
        <f t="shared" si="3"/>
        <v>75272.959999999497</v>
      </c>
      <c r="AN48" s="327">
        <f t="shared" si="4"/>
        <v>0</v>
      </c>
    </row>
    <row r="49" spans="1:42" s="538" customFormat="1" x14ac:dyDescent="0.45">
      <c r="A49" s="691" t="s">
        <v>75</v>
      </c>
      <c r="B49" s="609">
        <v>847730.08000000194</v>
      </c>
      <c r="C49" s="610">
        <v>232204.95</v>
      </c>
      <c r="D49" s="609">
        <v>362832.65</v>
      </c>
      <c r="E49" s="615">
        <v>243339</v>
      </c>
      <c r="F49" s="615">
        <f>252692.48</f>
        <v>252692.48000000001</v>
      </c>
      <c r="G49" s="616">
        <v>244086.12</v>
      </c>
      <c r="H49" s="615">
        <f>243339</f>
        <v>243339</v>
      </c>
      <c r="I49" s="615">
        <v>282022.38</v>
      </c>
      <c r="J49" s="615"/>
      <c r="K49" s="617">
        <v>396777.33</v>
      </c>
      <c r="L49" s="617">
        <f>282022.38</f>
        <v>282022.38</v>
      </c>
      <c r="M49" s="617">
        <v>434053.29000000004</v>
      </c>
      <c r="N49" s="617">
        <v>396777.33</v>
      </c>
      <c r="O49" s="612">
        <v>446266.55</v>
      </c>
      <c r="P49" s="611">
        <v>434053.29</v>
      </c>
      <c r="Q49" s="611">
        <v>471702.99000000005</v>
      </c>
      <c r="R49" s="611"/>
      <c r="S49" s="611">
        <v>449587.31</v>
      </c>
      <c r="T49" s="611">
        <v>921290.3</v>
      </c>
      <c r="U49" s="611">
        <v>471205.13</v>
      </c>
      <c r="V49" s="611"/>
      <c r="W49" s="611">
        <v>421302.6</v>
      </c>
      <c r="X49" s="611">
        <v>244086.12</v>
      </c>
      <c r="Y49" s="611">
        <v>420433.46</v>
      </c>
      <c r="Z49" s="611"/>
      <c r="AA49" s="611">
        <v>387760.62</v>
      </c>
      <c r="AB49" s="611"/>
      <c r="AC49" s="613"/>
      <c r="AD49" s="613"/>
      <c r="AE49" s="613"/>
      <c r="AF49" s="613"/>
      <c r="AG49" s="612">
        <f t="shared" si="5"/>
        <v>2146968.3600000022</v>
      </c>
      <c r="AH49" s="601"/>
      <c r="AI49" s="476">
        <v>847730.08000000194</v>
      </c>
      <c r="AJ49" s="476">
        <v>232204.95</v>
      </c>
      <c r="AK49" s="476">
        <f t="shared" si="6"/>
        <v>4668536.78</v>
      </c>
      <c r="AL49" s="537">
        <f t="shared" si="7"/>
        <v>3137093.5500000003</v>
      </c>
      <c r="AM49" s="474">
        <f t="shared" si="3"/>
        <v>2146968.3600000017</v>
      </c>
      <c r="AN49" s="327">
        <f t="shared" si="4"/>
        <v>0</v>
      </c>
    </row>
    <row r="50" spans="1:42" s="538" customFormat="1" x14ac:dyDescent="0.45">
      <c r="A50" s="691" t="s">
        <v>84</v>
      </c>
      <c r="B50" s="609">
        <v>-5959.0299999996205</v>
      </c>
      <c r="C50" s="610"/>
      <c r="D50" s="609"/>
      <c r="E50" s="615">
        <v>0</v>
      </c>
      <c r="F50" s="615"/>
      <c r="G50" s="616">
        <v>0</v>
      </c>
      <c r="H50" s="615"/>
      <c r="I50" s="615">
        <v>0</v>
      </c>
      <c r="J50" s="615"/>
      <c r="K50" s="617">
        <v>0</v>
      </c>
      <c r="L50" s="617"/>
      <c r="M50" s="617">
        <v>0</v>
      </c>
      <c r="N50" s="617"/>
      <c r="O50" s="612">
        <v>0</v>
      </c>
      <c r="P50" s="611"/>
      <c r="Q50" s="611">
        <v>0</v>
      </c>
      <c r="R50" s="611"/>
      <c r="S50" s="611">
        <v>0</v>
      </c>
      <c r="T50" s="611"/>
      <c r="U50" s="611"/>
      <c r="V50" s="611"/>
      <c r="W50" s="611">
        <v>0</v>
      </c>
      <c r="X50" s="611"/>
      <c r="Y50" s="611">
        <v>0</v>
      </c>
      <c r="Z50" s="611"/>
      <c r="AA50" s="611">
        <v>0</v>
      </c>
      <c r="AB50" s="611"/>
      <c r="AC50" s="613"/>
      <c r="AD50" s="613"/>
      <c r="AE50" s="613"/>
      <c r="AF50" s="613"/>
      <c r="AG50" s="612">
        <f t="shared" si="5"/>
        <v>-5959.0299999996205</v>
      </c>
      <c r="AH50" s="601"/>
      <c r="AI50" s="476">
        <v>-5959.0299999996205</v>
      </c>
      <c r="AJ50" s="476"/>
      <c r="AK50" s="476">
        <f t="shared" si="6"/>
        <v>0</v>
      </c>
      <c r="AL50" s="537">
        <f t="shared" si="7"/>
        <v>0</v>
      </c>
      <c r="AM50" s="474">
        <f t="shared" si="3"/>
        <v>-5959.0299999996205</v>
      </c>
      <c r="AN50" s="327">
        <f t="shared" si="4"/>
        <v>0</v>
      </c>
    </row>
    <row r="51" spans="1:42" s="538" customFormat="1" x14ac:dyDescent="0.45">
      <c r="A51" s="691" t="s">
        <v>68</v>
      </c>
      <c r="B51" s="609">
        <v>220230.6099999994</v>
      </c>
      <c r="C51" s="610"/>
      <c r="D51" s="609">
        <v>220801.73</v>
      </c>
      <c r="E51" s="615">
        <v>224034.22</v>
      </c>
      <c r="F51" s="615"/>
      <c r="G51" s="616">
        <v>202298.44</v>
      </c>
      <c r="H51" s="615">
        <v>426332.66</v>
      </c>
      <c r="I51" s="615">
        <v>208984.43</v>
      </c>
      <c r="J51" s="615">
        <v>208984.43</v>
      </c>
      <c r="K51" s="617">
        <v>212814.11999999997</v>
      </c>
      <c r="L51" s="617"/>
      <c r="M51" s="617">
        <v>197306.54</v>
      </c>
      <c r="N51" s="617">
        <v>410120.66</v>
      </c>
      <c r="O51" s="612">
        <v>170938.06</v>
      </c>
      <c r="P51" s="611">
        <v>170938.06</v>
      </c>
      <c r="Q51" s="611">
        <v>161981.28999999998</v>
      </c>
      <c r="R51" s="611">
        <v>161981.29</v>
      </c>
      <c r="S51" s="611">
        <v>142436.43</v>
      </c>
      <c r="T51" s="611"/>
      <c r="U51" s="614">
        <v>140129.63</v>
      </c>
      <c r="V51" s="611">
        <v>282566.06</v>
      </c>
      <c r="W51" s="611">
        <v>137860.24</v>
      </c>
      <c r="X51" s="611"/>
      <c r="Y51" s="611">
        <v>150782.07999999999</v>
      </c>
      <c r="Z51" s="618">
        <v>150782.07999999999</v>
      </c>
      <c r="AA51" s="611">
        <v>149170.57</v>
      </c>
      <c r="AB51" s="611"/>
      <c r="AC51" s="613"/>
      <c r="AD51" s="613"/>
      <c r="AE51" s="613"/>
      <c r="AF51" s="613"/>
      <c r="AG51" s="612">
        <f t="shared" si="5"/>
        <v>286459.68999999936</v>
      </c>
      <c r="AH51" s="601"/>
      <c r="AI51" s="476">
        <v>220230.6099999994</v>
      </c>
      <c r="AJ51" s="476"/>
      <c r="AK51" s="476">
        <f t="shared" si="6"/>
        <v>2098736.0500000003</v>
      </c>
      <c r="AL51" s="537">
        <f t="shared" si="7"/>
        <v>2032506.9700000002</v>
      </c>
      <c r="AM51" s="474">
        <f t="shared" si="3"/>
        <v>286459.68999999948</v>
      </c>
      <c r="AN51" s="327">
        <f t="shared" si="4"/>
        <v>0</v>
      </c>
    </row>
    <row r="52" spans="1:42" s="538" customFormat="1" x14ac:dyDescent="0.45">
      <c r="A52" s="691" t="s">
        <v>51</v>
      </c>
      <c r="B52" s="609">
        <v>575870.71000000043</v>
      </c>
      <c r="C52" s="610">
        <v>575870.71</v>
      </c>
      <c r="D52" s="609"/>
      <c r="E52" s="615">
        <v>0</v>
      </c>
      <c r="F52" s="615"/>
      <c r="G52" s="616">
        <v>0</v>
      </c>
      <c r="H52" s="615"/>
      <c r="I52" s="615">
        <v>0</v>
      </c>
      <c r="J52" s="615"/>
      <c r="K52" s="617">
        <v>0</v>
      </c>
      <c r="L52" s="617"/>
      <c r="M52" s="617">
        <v>0</v>
      </c>
      <c r="N52" s="617"/>
      <c r="O52" s="612">
        <v>0</v>
      </c>
      <c r="P52" s="611"/>
      <c r="Q52" s="611">
        <v>0</v>
      </c>
      <c r="R52" s="611"/>
      <c r="S52" s="611">
        <v>0</v>
      </c>
      <c r="T52" s="611"/>
      <c r="U52" s="611"/>
      <c r="V52" s="611"/>
      <c r="W52" s="611">
        <v>0</v>
      </c>
      <c r="X52" s="611"/>
      <c r="Y52" s="611">
        <v>0</v>
      </c>
      <c r="Z52" s="611"/>
      <c r="AA52" s="611">
        <v>0</v>
      </c>
      <c r="AB52" s="611"/>
      <c r="AC52" s="613"/>
      <c r="AD52" s="613"/>
      <c r="AE52" s="613"/>
      <c r="AF52" s="613"/>
      <c r="AG52" s="612">
        <f t="shared" si="5"/>
        <v>4.6566128730773926E-10</v>
      </c>
      <c r="AH52" s="601"/>
      <c r="AI52" s="476">
        <v>575870.71000000043</v>
      </c>
      <c r="AJ52" s="476">
        <v>575870.71</v>
      </c>
      <c r="AK52" s="476">
        <f t="shared" si="6"/>
        <v>0</v>
      </c>
      <c r="AL52" s="537">
        <f t="shared" si="7"/>
        <v>0</v>
      </c>
      <c r="AM52" s="474">
        <f t="shared" si="3"/>
        <v>4.6566128730773926E-10</v>
      </c>
      <c r="AN52" s="327">
        <f t="shared" si="4"/>
        <v>0</v>
      </c>
    </row>
    <row r="53" spans="1:42" s="538" customFormat="1" x14ac:dyDescent="0.45">
      <c r="A53" s="691" t="s">
        <v>366</v>
      </c>
      <c r="B53" s="609">
        <v>-16113.529999999795</v>
      </c>
      <c r="C53" s="610"/>
      <c r="D53" s="609"/>
      <c r="E53" s="615">
        <v>300825.59999999998</v>
      </c>
      <c r="F53" s="615"/>
      <c r="G53" s="616">
        <v>315669.2</v>
      </c>
      <c r="H53" s="615">
        <f>531554.02+315669.2</f>
        <v>847223.22</v>
      </c>
      <c r="I53" s="615">
        <v>318225.19</v>
      </c>
      <c r="J53" s="615">
        <v>318225.19</v>
      </c>
      <c r="K53" s="617">
        <v>327404.38</v>
      </c>
      <c r="L53" s="617">
        <v>327404.38</v>
      </c>
      <c r="M53" s="617">
        <v>361662.78</v>
      </c>
      <c r="N53" s="617">
        <v>361662.78</v>
      </c>
      <c r="O53" s="612">
        <v>415401.77</v>
      </c>
      <c r="P53" s="611">
        <v>415401.77</v>
      </c>
      <c r="Q53" s="611">
        <v>350570.39</v>
      </c>
      <c r="R53" s="611">
        <v>350570.39</v>
      </c>
      <c r="S53" s="611">
        <v>381085.64</v>
      </c>
      <c r="T53" s="611">
        <v>381085.64</v>
      </c>
      <c r="U53" s="614">
        <v>282035.61</v>
      </c>
      <c r="V53" s="611">
        <f>282035.61</f>
        <v>282035.61</v>
      </c>
      <c r="W53" s="611">
        <v>346497.98000000004</v>
      </c>
      <c r="X53" s="611"/>
      <c r="Y53" s="611">
        <v>392744.41000000003</v>
      </c>
      <c r="Z53" s="611">
        <v>392744.41</v>
      </c>
      <c r="AA53" s="611">
        <v>428020.29</v>
      </c>
      <c r="AB53" s="611"/>
      <c r="AC53" s="613"/>
      <c r="AD53" s="613"/>
      <c r="AE53" s="613"/>
      <c r="AF53" s="613"/>
      <c r="AG53" s="612">
        <f t="shared" si="5"/>
        <v>527676.3200000003</v>
      </c>
      <c r="AH53" s="601"/>
      <c r="AI53" s="476">
        <v>-16113.529999999795</v>
      </c>
      <c r="AJ53" s="476"/>
      <c r="AK53" s="476">
        <f t="shared" si="6"/>
        <v>4220143.24</v>
      </c>
      <c r="AL53" s="537">
        <f t="shared" si="7"/>
        <v>3676353.39</v>
      </c>
      <c r="AM53" s="474">
        <f t="shared" si="3"/>
        <v>527676.32000000076</v>
      </c>
      <c r="AN53" s="327">
        <f t="shared" si="4"/>
        <v>0</v>
      </c>
    </row>
    <row r="54" spans="1:42" s="538" customFormat="1" x14ac:dyDescent="0.45">
      <c r="A54" s="691" t="s">
        <v>77</v>
      </c>
      <c r="B54" s="609">
        <v>-35689.800000000032</v>
      </c>
      <c r="C54" s="610"/>
      <c r="D54" s="609"/>
      <c r="E54" s="615">
        <v>0</v>
      </c>
      <c r="F54" s="615"/>
      <c r="G54" s="616">
        <v>0</v>
      </c>
      <c r="H54" s="615"/>
      <c r="I54" s="615">
        <v>0</v>
      </c>
      <c r="J54" s="615"/>
      <c r="K54" s="617">
        <v>0</v>
      </c>
      <c r="L54" s="617"/>
      <c r="M54" s="617">
        <v>0</v>
      </c>
      <c r="N54" s="617"/>
      <c r="O54" s="612">
        <v>0</v>
      </c>
      <c r="P54" s="611"/>
      <c r="Q54" s="611">
        <v>0</v>
      </c>
      <c r="R54" s="611"/>
      <c r="S54" s="611">
        <v>0</v>
      </c>
      <c r="T54" s="611"/>
      <c r="U54" s="611"/>
      <c r="V54" s="611"/>
      <c r="W54" s="644"/>
      <c r="X54" s="611"/>
      <c r="Y54" s="611">
        <v>0</v>
      </c>
      <c r="Z54" s="611"/>
      <c r="AA54" s="611">
        <v>0</v>
      </c>
      <c r="AB54" s="611"/>
      <c r="AC54" s="613"/>
      <c r="AD54" s="613"/>
      <c r="AE54" s="613"/>
      <c r="AF54" s="613"/>
      <c r="AG54" s="612">
        <f t="shared" si="5"/>
        <v>-35689.800000000032</v>
      </c>
      <c r="AH54" s="601"/>
      <c r="AI54" s="476">
        <v>-35689.800000000032</v>
      </c>
      <c r="AJ54" s="476"/>
      <c r="AK54" s="476">
        <f t="shared" si="6"/>
        <v>0</v>
      </c>
      <c r="AL54" s="537">
        <f t="shared" si="7"/>
        <v>0</v>
      </c>
      <c r="AM54" s="474">
        <f t="shared" si="3"/>
        <v>-35689.800000000032</v>
      </c>
      <c r="AN54" s="327">
        <f t="shared" si="4"/>
        <v>0</v>
      </c>
    </row>
    <row r="55" spans="1:42" s="538" customFormat="1" x14ac:dyDescent="0.45">
      <c r="A55" s="691" t="s">
        <v>56</v>
      </c>
      <c r="B55" s="609">
        <v>473719.99999999977</v>
      </c>
      <c r="C55" s="610">
        <v>874560</v>
      </c>
      <c r="D55" s="609"/>
      <c r="E55" s="615">
        <v>36440</v>
      </c>
      <c r="F55" s="615"/>
      <c r="G55" s="616">
        <v>36440</v>
      </c>
      <c r="H55" s="615"/>
      <c r="I55" s="615">
        <v>36440</v>
      </c>
      <c r="J55" s="615"/>
      <c r="K55" s="617">
        <v>36440</v>
      </c>
      <c r="L55" s="617"/>
      <c r="M55" s="617">
        <v>36440</v>
      </c>
      <c r="N55" s="617"/>
      <c r="O55" s="612">
        <v>36440</v>
      </c>
      <c r="P55" s="611"/>
      <c r="Q55" s="611">
        <v>36440</v>
      </c>
      <c r="R55" s="611"/>
      <c r="S55" s="611">
        <v>36440</v>
      </c>
      <c r="T55" s="611"/>
      <c r="U55" s="611">
        <v>36440</v>
      </c>
      <c r="V55" s="611"/>
      <c r="W55" s="611">
        <v>36440</v>
      </c>
      <c r="X55" s="611"/>
      <c r="Y55" s="611">
        <v>36440</v>
      </c>
      <c r="Z55" s="611"/>
      <c r="AA55" s="611">
        <v>36440</v>
      </c>
      <c r="AB55" s="611"/>
      <c r="AC55" s="613"/>
      <c r="AD55" s="613"/>
      <c r="AE55" s="613"/>
      <c r="AF55" s="613"/>
      <c r="AG55" s="612">
        <f t="shared" si="5"/>
        <v>36439.999999999767</v>
      </c>
      <c r="AH55" s="601"/>
      <c r="AI55" s="476">
        <v>473719.99999999977</v>
      </c>
      <c r="AJ55" s="476">
        <v>874560</v>
      </c>
      <c r="AK55" s="476">
        <f t="shared" si="6"/>
        <v>437280</v>
      </c>
      <c r="AL55" s="537">
        <f t="shared" si="7"/>
        <v>0</v>
      </c>
      <c r="AM55" s="474">
        <f t="shared" si="3"/>
        <v>36439.999999999767</v>
      </c>
      <c r="AN55" s="327">
        <f t="shared" si="4"/>
        <v>0</v>
      </c>
    </row>
    <row r="56" spans="1:42" s="538" customFormat="1" x14ac:dyDescent="0.45">
      <c r="A56" s="691" t="s">
        <v>66</v>
      </c>
      <c r="B56" s="609">
        <v>411889.86000000034</v>
      </c>
      <c r="C56" s="610">
        <v>0.2</v>
      </c>
      <c r="D56" s="609">
        <v>411889.66</v>
      </c>
      <c r="E56" s="615">
        <v>865518.23</v>
      </c>
      <c r="F56" s="615">
        <v>356689</v>
      </c>
      <c r="G56" s="616">
        <v>435782.54</v>
      </c>
      <c r="H56" s="615"/>
      <c r="I56" s="615">
        <v>468732.24000000005</v>
      </c>
      <c r="J56" s="615">
        <f>79093.54+865518.23</f>
        <v>944611.77</v>
      </c>
      <c r="K56" s="617">
        <v>411405.78</v>
      </c>
      <c r="L56" s="617">
        <f>468732.24+411405.78</f>
        <v>880138.02</v>
      </c>
      <c r="M56" s="617">
        <v>449733.79</v>
      </c>
      <c r="N56" s="617"/>
      <c r="O56" s="612">
        <v>455597.9</v>
      </c>
      <c r="P56" s="611">
        <f>449733.79</f>
        <v>449733.79</v>
      </c>
      <c r="Q56" s="611">
        <v>467822.75</v>
      </c>
      <c r="R56" s="611">
        <f>455597.9</f>
        <v>455597.9</v>
      </c>
      <c r="S56" s="611">
        <v>709654.38</v>
      </c>
      <c r="T56" s="611">
        <v>467822.75</v>
      </c>
      <c r="U56" s="611">
        <v>407425.49</v>
      </c>
      <c r="V56" s="611">
        <f>709654.38</f>
        <v>709654.38</v>
      </c>
      <c r="W56" s="611">
        <v>386242.23999999993</v>
      </c>
      <c r="X56" s="611">
        <f>407425.49</f>
        <v>407425.49</v>
      </c>
      <c r="Y56" s="611">
        <v>447027.73</v>
      </c>
      <c r="Z56" s="611">
        <v>386242.24</v>
      </c>
      <c r="AA56" s="611">
        <v>402376.54000000004</v>
      </c>
      <c r="AB56" s="611"/>
      <c r="AC56" s="613"/>
      <c r="AD56" s="613"/>
      <c r="AE56" s="613"/>
      <c r="AF56" s="613"/>
      <c r="AG56" s="612">
        <f t="shared" si="5"/>
        <v>849404.27</v>
      </c>
      <c r="AH56" s="601"/>
      <c r="AI56" s="476">
        <v>411889.86000000034</v>
      </c>
      <c r="AJ56" s="476">
        <v>0.2</v>
      </c>
      <c r="AK56" s="476">
        <f t="shared" si="6"/>
        <v>5907319.6100000003</v>
      </c>
      <c r="AL56" s="537">
        <f t="shared" si="7"/>
        <v>5469805.0000000009</v>
      </c>
      <c r="AM56" s="474">
        <f t="shared" si="3"/>
        <v>849404.26999999955</v>
      </c>
      <c r="AN56" s="327">
        <f t="shared" si="4"/>
        <v>0</v>
      </c>
    </row>
    <row r="57" spans="1:42" s="538" customFormat="1" x14ac:dyDescent="0.45">
      <c r="A57" s="691" t="s">
        <v>367</v>
      </c>
      <c r="B57" s="609">
        <v>210643.16999999946</v>
      </c>
      <c r="C57" s="610"/>
      <c r="D57" s="609">
        <v>210643.17</v>
      </c>
      <c r="E57" s="615">
        <v>192521.91</v>
      </c>
      <c r="F57" s="615"/>
      <c r="G57" s="616">
        <v>183542.57</v>
      </c>
      <c r="H57" s="615">
        <f>192521.91+183542.57</f>
        <v>376064.48</v>
      </c>
      <c r="I57" s="615">
        <v>198780.56</v>
      </c>
      <c r="J57" s="615">
        <v>198780.56</v>
      </c>
      <c r="K57" s="611">
        <v>190636.38</v>
      </c>
      <c r="L57" s="617">
        <v>190636.38</v>
      </c>
      <c r="M57" s="617">
        <v>196200.21</v>
      </c>
      <c r="N57" s="617">
        <v>196200.21</v>
      </c>
      <c r="O57" s="612">
        <v>198080.43</v>
      </c>
      <c r="P57" s="611">
        <v>198080.43</v>
      </c>
      <c r="Q57" s="611">
        <v>195335.91999999998</v>
      </c>
      <c r="R57" s="611">
        <v>195335.92</v>
      </c>
      <c r="S57" s="611">
        <v>192376</v>
      </c>
      <c r="T57" s="611">
        <v>192376</v>
      </c>
      <c r="U57" s="611">
        <v>200754.75</v>
      </c>
      <c r="V57" s="611">
        <f>200754.75</f>
        <v>200754.75</v>
      </c>
      <c r="W57" s="611">
        <v>175707</v>
      </c>
      <c r="X57" s="611">
        <v>175707</v>
      </c>
      <c r="Y57" s="611">
        <v>200207.58</v>
      </c>
      <c r="Z57" s="611">
        <f>200207.58+164185</f>
        <v>364392.57999999996</v>
      </c>
      <c r="AA57" s="611">
        <v>191606.07</v>
      </c>
      <c r="AB57" s="611"/>
      <c r="AC57" s="613"/>
      <c r="AD57" s="613"/>
      <c r="AE57" s="613"/>
      <c r="AF57" s="613"/>
      <c r="AG57" s="612">
        <f t="shared" si="5"/>
        <v>27421.069999999483</v>
      </c>
      <c r="AH57" s="601"/>
      <c r="AI57" s="476">
        <v>210643.16999999946</v>
      </c>
      <c r="AJ57" s="476"/>
      <c r="AK57" s="476">
        <f t="shared" si="6"/>
        <v>2315749.38</v>
      </c>
      <c r="AL57" s="537">
        <f t="shared" si="7"/>
        <v>2498971.48</v>
      </c>
      <c r="AM57" s="474">
        <f t="shared" si="3"/>
        <v>27421.069999999367</v>
      </c>
      <c r="AN57" s="327">
        <f t="shared" si="4"/>
        <v>0</v>
      </c>
    </row>
    <row r="58" spans="1:42" s="538" customFormat="1" x14ac:dyDescent="0.45">
      <c r="A58" s="691" t="s">
        <v>81</v>
      </c>
      <c r="B58" s="609">
        <v>93274.859999999928</v>
      </c>
      <c r="C58" s="610">
        <v>57439.54</v>
      </c>
      <c r="D58" s="609">
        <v>35835.32</v>
      </c>
      <c r="E58" s="615">
        <v>38200.61</v>
      </c>
      <c r="F58" s="615"/>
      <c r="G58" s="616">
        <v>33709.33</v>
      </c>
      <c r="H58" s="615">
        <f>38200.61</f>
        <v>38200.61</v>
      </c>
      <c r="I58" s="615">
        <v>38926.6</v>
      </c>
      <c r="J58" s="615">
        <f>38926.6+33709.33</f>
        <v>72635.929999999993</v>
      </c>
      <c r="K58" s="617">
        <v>34779.040000000001</v>
      </c>
      <c r="L58" s="617"/>
      <c r="M58" s="617">
        <v>44681.32</v>
      </c>
      <c r="N58" s="617">
        <f>34779.04+43693.67</f>
        <v>78472.709999999992</v>
      </c>
      <c r="O58" s="612">
        <v>45278.96</v>
      </c>
      <c r="P58" s="611">
        <f>45278.96</f>
        <v>45278.96</v>
      </c>
      <c r="Q58" s="611">
        <v>43279.61</v>
      </c>
      <c r="R58" s="611"/>
      <c r="S58" s="611">
        <v>43500.97</v>
      </c>
      <c r="T58" s="611">
        <v>86780.58</v>
      </c>
      <c r="U58" s="611">
        <v>52744.26</v>
      </c>
      <c r="V58" s="611"/>
      <c r="W58" s="611">
        <v>51690.3</v>
      </c>
      <c r="X58" s="611">
        <v>104434.56</v>
      </c>
      <c r="Y58" s="611">
        <v>41961</v>
      </c>
      <c r="Z58" s="611">
        <f>41961</f>
        <v>41961</v>
      </c>
      <c r="AA58" s="611">
        <v>40839.699999999997</v>
      </c>
      <c r="AB58" s="611"/>
      <c r="AC58" s="613"/>
      <c r="AD58" s="613"/>
      <c r="AE58" s="613"/>
      <c r="AF58" s="613"/>
      <c r="AG58" s="612">
        <f t="shared" si="5"/>
        <v>41827.349999999962</v>
      </c>
      <c r="AH58" s="601"/>
      <c r="AI58" s="476">
        <v>93274.859999999928</v>
      </c>
      <c r="AJ58" s="476">
        <v>57439.54</v>
      </c>
      <c r="AK58" s="476">
        <f t="shared" si="6"/>
        <v>509591.70000000007</v>
      </c>
      <c r="AL58" s="537">
        <f t="shared" si="7"/>
        <v>503599.67</v>
      </c>
      <c r="AM58" s="474">
        <f t="shared" si="3"/>
        <v>41827.350000000035</v>
      </c>
      <c r="AN58" s="327">
        <f t="shared" si="4"/>
        <v>0</v>
      </c>
    </row>
    <row r="59" spans="1:42" s="538" customFormat="1" x14ac:dyDescent="0.45">
      <c r="A59" s="691" t="s">
        <v>48</v>
      </c>
      <c r="B59" s="609">
        <v>574067.36999999941</v>
      </c>
      <c r="C59" s="610"/>
      <c r="D59" s="609">
        <v>164376.01</v>
      </c>
      <c r="E59" s="615">
        <v>63310.68</v>
      </c>
      <c r="F59" s="615">
        <f>203706.17</f>
        <v>203706.17</v>
      </c>
      <c r="G59" s="616">
        <v>60446</v>
      </c>
      <c r="H59" s="615"/>
      <c r="I59" s="615">
        <v>61565.4</v>
      </c>
      <c r="J59" s="615"/>
      <c r="K59" s="617">
        <v>62831.839999999997</v>
      </c>
      <c r="L59" s="617">
        <f>185322.08</f>
        <v>185322.08</v>
      </c>
      <c r="M59" s="617">
        <v>67454.89</v>
      </c>
      <c r="N59" s="617"/>
      <c r="O59" s="612">
        <v>28558.13</v>
      </c>
      <c r="P59" s="611"/>
      <c r="Q59" s="611">
        <v>27456.880000000001</v>
      </c>
      <c r="R59" s="611"/>
      <c r="S59" s="611">
        <v>36752.85</v>
      </c>
      <c r="T59" s="611"/>
      <c r="U59" s="611">
        <v>26954.670000000002</v>
      </c>
      <c r="V59" s="611"/>
      <c r="W59" s="611">
        <v>22409.09</v>
      </c>
      <c r="X59" s="611"/>
      <c r="Y59" s="611">
        <v>21276</v>
      </c>
      <c r="Z59" s="611"/>
      <c r="AA59" s="611">
        <v>21276</v>
      </c>
      <c r="AB59" s="611"/>
      <c r="AC59" s="613"/>
      <c r="AD59" s="613"/>
      <c r="AE59" s="613"/>
      <c r="AF59" s="613"/>
      <c r="AG59" s="612">
        <f t="shared" si="5"/>
        <v>520955.53999999946</v>
      </c>
      <c r="AH59" s="601"/>
      <c r="AI59" s="476">
        <v>574067.36999999941</v>
      </c>
      <c r="AJ59" s="476"/>
      <c r="AK59" s="476">
        <f t="shared" si="6"/>
        <v>500292.43</v>
      </c>
      <c r="AL59" s="537">
        <f t="shared" si="7"/>
        <v>553404.26</v>
      </c>
      <c r="AM59" s="474">
        <f t="shared" si="3"/>
        <v>520955.53999999934</v>
      </c>
      <c r="AN59" s="327">
        <f t="shared" si="4"/>
        <v>0</v>
      </c>
      <c r="AP59" s="589"/>
    </row>
    <row r="60" spans="1:42" s="538" customFormat="1" x14ac:dyDescent="0.45">
      <c r="A60" s="691" t="s">
        <v>368</v>
      </c>
      <c r="B60" s="609">
        <v>790732.87000000291</v>
      </c>
      <c r="C60" s="610">
        <v>0.02</v>
      </c>
      <c r="D60" s="609">
        <v>790732.85</v>
      </c>
      <c r="E60" s="609">
        <v>1485005.19</v>
      </c>
      <c r="F60" s="609"/>
      <c r="G60" s="611">
        <v>867025.71000000008</v>
      </c>
      <c r="H60" s="609">
        <v>2352030.9</v>
      </c>
      <c r="I60" s="609">
        <v>925033.46999999986</v>
      </c>
      <c r="J60" s="609">
        <v>925033.47</v>
      </c>
      <c r="K60" s="612">
        <v>1213307.3599999999</v>
      </c>
      <c r="L60" s="612">
        <v>1213307.3600000001</v>
      </c>
      <c r="M60" s="612">
        <v>1011363.6199999999</v>
      </c>
      <c r="N60" s="612"/>
      <c r="O60" s="612">
        <v>976563.4</v>
      </c>
      <c r="P60" s="611">
        <f>1011363.62+976563.4</f>
        <v>1987927.02</v>
      </c>
      <c r="Q60" s="611">
        <v>868751.99</v>
      </c>
      <c r="R60" s="611">
        <v>868751.99</v>
      </c>
      <c r="S60" s="611">
        <v>958674.20000000007</v>
      </c>
      <c r="T60" s="611">
        <v>958674.2</v>
      </c>
      <c r="U60" s="611">
        <v>970068.65</v>
      </c>
      <c r="V60" s="611">
        <v>970068.65</v>
      </c>
      <c r="W60" s="611">
        <v>784251.91000000015</v>
      </c>
      <c r="X60" s="611">
        <v>784251.91</v>
      </c>
      <c r="Y60" s="611">
        <v>926449.36</v>
      </c>
      <c r="Z60" s="641">
        <f>926449.36</f>
        <v>926449.36</v>
      </c>
      <c r="AA60" s="575">
        <v>1067658.98</v>
      </c>
      <c r="AB60" s="611"/>
      <c r="AC60" s="613"/>
      <c r="AD60" s="613"/>
      <c r="AE60" s="613"/>
      <c r="AF60" s="613"/>
      <c r="AG60" s="612">
        <f t="shared" si="5"/>
        <v>1067658.9800000025</v>
      </c>
      <c r="AH60" s="601"/>
      <c r="AI60" s="476">
        <v>790732.87000000291</v>
      </c>
      <c r="AJ60" s="476">
        <v>0.02</v>
      </c>
      <c r="AK60" s="476">
        <f t="shared" si="6"/>
        <v>12054153.84</v>
      </c>
      <c r="AL60" s="537">
        <f t="shared" si="7"/>
        <v>11777227.709999999</v>
      </c>
      <c r="AM60" s="474">
        <f t="shared" si="3"/>
        <v>1067658.9800000042</v>
      </c>
      <c r="AN60" s="327">
        <f t="shared" si="4"/>
        <v>0</v>
      </c>
    </row>
    <row r="61" spans="1:42" s="538" customFormat="1" x14ac:dyDescent="0.45">
      <c r="A61" s="691" t="s">
        <v>78</v>
      </c>
      <c r="B61" s="609">
        <v>-113497.31999998927</v>
      </c>
      <c r="C61" s="610"/>
      <c r="D61" s="609"/>
      <c r="E61" s="615">
        <v>0</v>
      </c>
      <c r="F61" s="615"/>
      <c r="G61" s="616">
        <v>0</v>
      </c>
      <c r="H61" s="615"/>
      <c r="I61" s="615">
        <v>0</v>
      </c>
      <c r="J61" s="615"/>
      <c r="K61" s="617">
        <v>0</v>
      </c>
      <c r="L61" s="617"/>
      <c r="M61" s="617">
        <v>0</v>
      </c>
      <c r="N61" s="617"/>
      <c r="O61" s="612">
        <v>0</v>
      </c>
      <c r="P61" s="611"/>
      <c r="Q61" s="611">
        <v>0</v>
      </c>
      <c r="R61" s="611"/>
      <c r="S61" s="611">
        <v>0</v>
      </c>
      <c r="T61" s="611"/>
      <c r="U61" s="611"/>
      <c r="V61" s="611"/>
      <c r="W61" s="611">
        <v>0</v>
      </c>
      <c r="X61" s="611"/>
      <c r="Y61" s="611">
        <v>0</v>
      </c>
      <c r="Z61" s="611"/>
      <c r="AA61" s="611">
        <v>0</v>
      </c>
      <c r="AB61" s="611"/>
      <c r="AC61" s="613"/>
      <c r="AD61" s="613"/>
      <c r="AE61" s="613"/>
      <c r="AF61" s="613"/>
      <c r="AG61" s="612">
        <f t="shared" si="5"/>
        <v>-113497.31999998927</v>
      </c>
      <c r="AH61" s="601"/>
      <c r="AI61" s="476">
        <v>-113497.31999998927</v>
      </c>
      <c r="AJ61" s="476"/>
      <c r="AK61" s="476">
        <f t="shared" si="6"/>
        <v>0</v>
      </c>
      <c r="AL61" s="537">
        <f t="shared" si="7"/>
        <v>0</v>
      </c>
      <c r="AM61" s="474">
        <f t="shared" si="3"/>
        <v>-113497.31999998927</v>
      </c>
      <c r="AN61" s="327">
        <f t="shared" si="4"/>
        <v>0</v>
      </c>
    </row>
    <row r="62" spans="1:42" s="538" customFormat="1" x14ac:dyDescent="0.45">
      <c r="A62" s="691" t="s">
        <v>190</v>
      </c>
      <c r="B62" s="609">
        <v>-265954.98</v>
      </c>
      <c r="C62" s="610"/>
      <c r="D62" s="609"/>
      <c r="E62" s="615">
        <v>0</v>
      </c>
      <c r="F62" s="615"/>
      <c r="G62" s="616">
        <v>0</v>
      </c>
      <c r="H62" s="615"/>
      <c r="I62" s="615">
        <v>0</v>
      </c>
      <c r="J62" s="615"/>
      <c r="K62" s="617">
        <v>0</v>
      </c>
      <c r="L62" s="617"/>
      <c r="M62" s="617">
        <v>0</v>
      </c>
      <c r="N62" s="617"/>
      <c r="O62" s="612">
        <v>0</v>
      </c>
      <c r="P62" s="611"/>
      <c r="Q62" s="611">
        <v>0</v>
      </c>
      <c r="R62" s="611"/>
      <c r="S62" s="611">
        <v>0</v>
      </c>
      <c r="T62" s="611"/>
      <c r="U62" s="611"/>
      <c r="V62" s="611"/>
      <c r="W62" s="611">
        <v>0</v>
      </c>
      <c r="X62" s="611"/>
      <c r="Y62" s="611">
        <v>0</v>
      </c>
      <c r="Z62" s="611"/>
      <c r="AA62" s="611">
        <v>0</v>
      </c>
      <c r="AB62" s="611"/>
      <c r="AC62" s="613"/>
      <c r="AD62" s="613"/>
      <c r="AE62" s="613"/>
      <c r="AF62" s="613"/>
      <c r="AG62" s="612">
        <f t="shared" si="5"/>
        <v>-265954.98</v>
      </c>
      <c r="AH62" s="601"/>
      <c r="AI62" s="476">
        <v>-265954.98</v>
      </c>
      <c r="AJ62" s="476"/>
      <c r="AK62" s="476">
        <f t="shared" si="6"/>
        <v>0</v>
      </c>
      <c r="AL62" s="537">
        <f t="shared" si="7"/>
        <v>0</v>
      </c>
      <c r="AM62" s="474">
        <f t="shared" si="3"/>
        <v>-265954.98</v>
      </c>
      <c r="AN62" s="327">
        <f t="shared" si="4"/>
        <v>0</v>
      </c>
    </row>
    <row r="63" spans="1:42" s="538" customFormat="1" x14ac:dyDescent="0.45">
      <c r="A63" s="691" t="s">
        <v>52</v>
      </c>
      <c r="B63" s="609">
        <v>102028.28</v>
      </c>
      <c r="C63" s="610">
        <v>102028.28</v>
      </c>
      <c r="D63" s="609"/>
      <c r="E63" s="615">
        <v>0</v>
      </c>
      <c r="F63" s="615"/>
      <c r="G63" s="616">
        <v>0</v>
      </c>
      <c r="H63" s="615"/>
      <c r="I63" s="615">
        <v>0</v>
      </c>
      <c r="J63" s="615"/>
      <c r="K63" s="617">
        <v>0</v>
      </c>
      <c r="L63" s="617"/>
      <c r="M63" s="617">
        <v>0</v>
      </c>
      <c r="N63" s="617"/>
      <c r="O63" s="612">
        <v>0</v>
      </c>
      <c r="P63" s="611"/>
      <c r="Q63" s="611">
        <v>0</v>
      </c>
      <c r="R63" s="611"/>
      <c r="S63" s="611">
        <v>0</v>
      </c>
      <c r="T63" s="611"/>
      <c r="U63" s="611"/>
      <c r="V63" s="611"/>
      <c r="W63" s="611">
        <v>0</v>
      </c>
      <c r="X63" s="611"/>
      <c r="Y63" s="611">
        <v>0</v>
      </c>
      <c r="Z63" s="611"/>
      <c r="AA63" s="611">
        <v>0</v>
      </c>
      <c r="AB63" s="611"/>
      <c r="AC63" s="613"/>
      <c r="AD63" s="613"/>
      <c r="AE63" s="613"/>
      <c r="AF63" s="613"/>
      <c r="AG63" s="612">
        <f t="shared" si="5"/>
        <v>0</v>
      </c>
      <c r="AH63" s="601"/>
      <c r="AI63" s="476">
        <v>102028.28</v>
      </c>
      <c r="AJ63" s="476">
        <v>102028.28</v>
      </c>
      <c r="AK63" s="476">
        <f t="shared" si="6"/>
        <v>0</v>
      </c>
      <c r="AL63" s="537">
        <f t="shared" si="7"/>
        <v>0</v>
      </c>
      <c r="AM63" s="474">
        <f t="shared" si="3"/>
        <v>0</v>
      </c>
      <c r="AN63" s="327">
        <f t="shared" si="4"/>
        <v>0</v>
      </c>
    </row>
    <row r="64" spans="1:42" s="538" customFormat="1" x14ac:dyDescent="0.45">
      <c r="A64" s="691" t="s">
        <v>55</v>
      </c>
      <c r="B64" s="609">
        <v>-221089.2</v>
      </c>
      <c r="C64" s="610"/>
      <c r="D64" s="609"/>
      <c r="E64" s="615">
        <v>0</v>
      </c>
      <c r="F64" s="615"/>
      <c r="G64" s="616">
        <v>0</v>
      </c>
      <c r="H64" s="615"/>
      <c r="I64" s="615">
        <v>0</v>
      </c>
      <c r="J64" s="615"/>
      <c r="K64" s="617">
        <v>0</v>
      </c>
      <c r="L64" s="617"/>
      <c r="M64" s="617">
        <v>0</v>
      </c>
      <c r="N64" s="617"/>
      <c r="O64" s="612">
        <v>0</v>
      </c>
      <c r="P64" s="611"/>
      <c r="Q64" s="611">
        <v>0</v>
      </c>
      <c r="R64" s="611"/>
      <c r="S64" s="611">
        <v>0</v>
      </c>
      <c r="T64" s="611"/>
      <c r="U64" s="611"/>
      <c r="V64" s="611"/>
      <c r="W64" s="611">
        <v>0</v>
      </c>
      <c r="X64" s="611"/>
      <c r="Y64" s="611">
        <v>0</v>
      </c>
      <c r="Z64" s="611"/>
      <c r="AA64" s="611">
        <v>0</v>
      </c>
      <c r="AB64" s="611"/>
      <c r="AC64" s="613"/>
      <c r="AD64" s="613"/>
      <c r="AE64" s="613"/>
      <c r="AF64" s="613"/>
      <c r="AG64" s="612">
        <f t="shared" si="5"/>
        <v>-221089.2</v>
      </c>
      <c r="AH64" s="601"/>
      <c r="AI64" s="476">
        <v>-221089.2</v>
      </c>
      <c r="AJ64" s="476"/>
      <c r="AK64" s="476">
        <f t="shared" si="6"/>
        <v>0</v>
      </c>
      <c r="AL64" s="537">
        <f t="shared" si="7"/>
        <v>0</v>
      </c>
      <c r="AM64" s="474">
        <f t="shared" si="3"/>
        <v>-221089.2</v>
      </c>
      <c r="AN64" s="327">
        <f t="shared" si="4"/>
        <v>0</v>
      </c>
    </row>
    <row r="65" spans="1:41" s="538" customFormat="1" x14ac:dyDescent="0.45">
      <c r="A65" s="691" t="s">
        <v>45</v>
      </c>
      <c r="B65" s="609">
        <v>10344.60830000008</v>
      </c>
      <c r="C65" s="610"/>
      <c r="D65" s="609">
        <v>10344.61</v>
      </c>
      <c r="E65" s="615">
        <v>35440.050000000003</v>
      </c>
      <c r="F65" s="615"/>
      <c r="G65" s="616">
        <v>123193.98000000001</v>
      </c>
      <c r="H65" s="615"/>
      <c r="I65" s="615">
        <v>228012.84999999998</v>
      </c>
      <c r="J65" s="615"/>
      <c r="K65" s="617">
        <v>178515.7</v>
      </c>
      <c r="L65" s="617">
        <f>351206.83</f>
        <v>351206.83</v>
      </c>
      <c r="M65" s="617">
        <v>168169.52</v>
      </c>
      <c r="N65" s="617"/>
      <c r="O65" s="612">
        <v>145700.1</v>
      </c>
      <c r="P65" s="611">
        <v>35440.050000000003</v>
      </c>
      <c r="Q65" s="611">
        <v>180181.19</v>
      </c>
      <c r="R65" s="611"/>
      <c r="S65" s="611">
        <v>173517.99</v>
      </c>
      <c r="T65" s="611"/>
      <c r="U65" s="611">
        <v>162950.13</v>
      </c>
      <c r="V65" s="611"/>
      <c r="W65" s="611">
        <v>144383.94000000003</v>
      </c>
      <c r="X65" s="611"/>
      <c r="Y65" s="611">
        <v>143727.07</v>
      </c>
      <c r="Z65" s="611">
        <v>1153418.57</v>
      </c>
      <c r="AA65" s="611">
        <v>203086.46</v>
      </c>
      <c r="AB65" s="611"/>
      <c r="AC65" s="613"/>
      <c r="AD65" s="613"/>
      <c r="AE65" s="613"/>
      <c r="AF65" s="613"/>
      <c r="AG65" s="612">
        <f t="shared" si="5"/>
        <v>346813.52830000012</v>
      </c>
      <c r="AH65" s="601"/>
      <c r="AI65" s="476">
        <v>10344.60830000008</v>
      </c>
      <c r="AJ65" s="476"/>
      <c r="AK65" s="476">
        <f t="shared" si="6"/>
        <v>1886878.9800000002</v>
      </c>
      <c r="AL65" s="537">
        <f t="shared" si="7"/>
        <v>1550410.06</v>
      </c>
      <c r="AM65" s="474">
        <f t="shared" si="3"/>
        <v>346813.52830000035</v>
      </c>
      <c r="AN65" s="327">
        <f t="shared" si="4"/>
        <v>0</v>
      </c>
    </row>
    <row r="66" spans="1:41" s="538" customFormat="1" x14ac:dyDescent="0.45">
      <c r="A66" s="691" t="s">
        <v>191</v>
      </c>
      <c r="B66" s="609">
        <v>-29297.360000000015</v>
      </c>
      <c r="C66" s="610"/>
      <c r="D66" s="609"/>
      <c r="E66" s="615">
        <v>0</v>
      </c>
      <c r="F66" s="615"/>
      <c r="G66" s="616">
        <v>0</v>
      </c>
      <c r="H66" s="615"/>
      <c r="I66" s="615">
        <v>0</v>
      </c>
      <c r="J66" s="615"/>
      <c r="K66" s="617">
        <v>0</v>
      </c>
      <c r="L66" s="617"/>
      <c r="M66" s="617">
        <v>0</v>
      </c>
      <c r="N66" s="617"/>
      <c r="O66" s="612">
        <v>0</v>
      </c>
      <c r="P66" s="611"/>
      <c r="Q66" s="611">
        <v>0</v>
      </c>
      <c r="R66" s="611"/>
      <c r="S66" s="611">
        <v>0</v>
      </c>
      <c r="T66" s="611"/>
      <c r="U66" s="611"/>
      <c r="V66" s="611"/>
      <c r="W66" s="611">
        <v>0</v>
      </c>
      <c r="X66" s="611"/>
      <c r="Y66" s="611">
        <v>0</v>
      </c>
      <c r="Z66" s="611"/>
      <c r="AA66" s="611">
        <v>0</v>
      </c>
      <c r="AB66" s="611"/>
      <c r="AC66" s="613"/>
      <c r="AD66" s="613"/>
      <c r="AE66" s="613"/>
      <c r="AF66" s="613"/>
      <c r="AG66" s="612">
        <f t="shared" si="5"/>
        <v>-29297.360000000015</v>
      </c>
      <c r="AH66" s="601"/>
      <c r="AI66" s="476">
        <v>-29297.360000000015</v>
      </c>
      <c r="AJ66" s="476"/>
      <c r="AK66" s="476">
        <f t="shared" si="6"/>
        <v>0</v>
      </c>
      <c r="AL66" s="537">
        <f t="shared" si="7"/>
        <v>0</v>
      </c>
      <c r="AM66" s="474">
        <f t="shared" si="3"/>
        <v>-29297.360000000015</v>
      </c>
      <c r="AN66" s="327">
        <f t="shared" si="4"/>
        <v>0</v>
      </c>
    </row>
    <row r="67" spans="1:41" s="538" customFormat="1" x14ac:dyDescent="0.45">
      <c r="A67" s="691" t="s">
        <v>309</v>
      </c>
      <c r="B67" s="619">
        <v>85189.429999999978</v>
      </c>
      <c r="C67" s="610">
        <v>25975.06</v>
      </c>
      <c r="D67" s="609">
        <v>58318.7</v>
      </c>
      <c r="E67" s="615">
        <v>0</v>
      </c>
      <c r="F67" s="615">
        <v>895.67</v>
      </c>
      <c r="G67" s="616">
        <v>0</v>
      </c>
      <c r="H67" s="615"/>
      <c r="I67" s="615">
        <v>11204.69</v>
      </c>
      <c r="J67" s="615">
        <f>11204.69</f>
        <v>11204.69</v>
      </c>
      <c r="K67" s="617">
        <v>0</v>
      </c>
      <c r="L67" s="617"/>
      <c r="M67" s="617">
        <v>2165.21</v>
      </c>
      <c r="N67" s="617">
        <v>2165.21</v>
      </c>
      <c r="O67" s="612">
        <v>0</v>
      </c>
      <c r="P67" s="611"/>
      <c r="Q67" s="611">
        <v>0</v>
      </c>
      <c r="R67" s="611"/>
      <c r="S67" s="611">
        <v>12059.439999999999</v>
      </c>
      <c r="T67" s="611"/>
      <c r="U67" s="611">
        <v>44912.729999999996</v>
      </c>
      <c r="V67" s="611"/>
      <c r="W67" s="611">
        <v>3238.98</v>
      </c>
      <c r="X67" s="611">
        <v>60211.15</v>
      </c>
      <c r="Y67" s="611">
        <v>57793.47</v>
      </c>
      <c r="Z67" s="611">
        <v>57793.47</v>
      </c>
      <c r="AA67" s="611">
        <v>26266.25</v>
      </c>
      <c r="AB67" s="611"/>
      <c r="AC67" s="613"/>
      <c r="AD67" s="613"/>
      <c r="AE67" s="613"/>
      <c r="AF67" s="613"/>
      <c r="AG67" s="612">
        <f t="shared" si="5"/>
        <v>26266.249999999978</v>
      </c>
      <c r="AH67" s="601"/>
      <c r="AI67" s="476">
        <v>85189.429999999978</v>
      </c>
      <c r="AJ67" s="476">
        <v>25975.06</v>
      </c>
      <c r="AK67" s="476">
        <f t="shared" si="6"/>
        <v>157640.76999999999</v>
      </c>
      <c r="AL67" s="537">
        <f t="shared" si="7"/>
        <v>190588.89</v>
      </c>
      <c r="AM67" s="474">
        <f t="shared" si="3"/>
        <v>26266.249999999942</v>
      </c>
      <c r="AN67" s="327">
        <f t="shared" si="4"/>
        <v>0</v>
      </c>
      <c r="AO67" s="589"/>
    </row>
    <row r="68" spans="1:41" s="538" customFormat="1" x14ac:dyDescent="0.45">
      <c r="A68" s="691" t="s">
        <v>197</v>
      </c>
      <c r="B68" s="609">
        <v>128894.42999999996</v>
      </c>
      <c r="C68" s="610">
        <v>128894.43</v>
      </c>
      <c r="D68" s="609"/>
      <c r="E68" s="615">
        <v>0</v>
      </c>
      <c r="F68" s="615"/>
      <c r="G68" s="616">
        <v>0</v>
      </c>
      <c r="H68" s="615"/>
      <c r="I68" s="615">
        <v>0</v>
      </c>
      <c r="J68" s="615"/>
      <c r="K68" s="617">
        <v>0</v>
      </c>
      <c r="L68" s="617"/>
      <c r="M68" s="617">
        <v>0</v>
      </c>
      <c r="N68" s="617"/>
      <c r="O68" s="612">
        <v>0</v>
      </c>
      <c r="P68" s="611"/>
      <c r="Q68" s="611">
        <v>0</v>
      </c>
      <c r="R68" s="611"/>
      <c r="S68" s="611">
        <v>0</v>
      </c>
      <c r="T68" s="611"/>
      <c r="U68" s="611"/>
      <c r="V68" s="611"/>
      <c r="W68" s="611">
        <v>0</v>
      </c>
      <c r="X68" s="611"/>
      <c r="Y68" s="611">
        <v>0</v>
      </c>
      <c r="Z68" s="611"/>
      <c r="AA68" s="611">
        <v>0</v>
      </c>
      <c r="AB68" s="611"/>
      <c r="AC68" s="613"/>
      <c r="AD68" s="613"/>
      <c r="AE68" s="613"/>
      <c r="AF68" s="613"/>
      <c r="AG68" s="612">
        <f t="shared" si="5"/>
        <v>-2.9103830456733704E-11</v>
      </c>
      <c r="AH68" s="601"/>
      <c r="AI68" s="476">
        <v>128894.42999999996</v>
      </c>
      <c r="AJ68" s="476">
        <v>128894.43</v>
      </c>
      <c r="AK68" s="476">
        <f t="shared" si="6"/>
        <v>0</v>
      </c>
      <c r="AL68" s="537">
        <f t="shared" si="7"/>
        <v>0</v>
      </c>
      <c r="AM68" s="474">
        <f t="shared" si="3"/>
        <v>-2.9103830456733704E-11</v>
      </c>
      <c r="AN68" s="327">
        <f t="shared" si="4"/>
        <v>0</v>
      </c>
    </row>
    <row r="69" spans="1:41" s="538" customFormat="1" x14ac:dyDescent="0.45">
      <c r="A69" s="691" t="s">
        <v>80</v>
      </c>
      <c r="B69" s="609">
        <v>3416.9060000000172</v>
      </c>
      <c r="C69" s="610"/>
      <c r="D69" s="609"/>
      <c r="E69" s="615">
        <v>588.38</v>
      </c>
      <c r="F69" s="615">
        <v>5601.59</v>
      </c>
      <c r="G69" s="638">
        <v>674.19</v>
      </c>
      <c r="H69" s="615">
        <v>588.38</v>
      </c>
      <c r="I69" s="615">
        <v>0</v>
      </c>
      <c r="J69" s="615">
        <v>674.19</v>
      </c>
      <c r="K69" s="617">
        <v>0</v>
      </c>
      <c r="L69" s="617"/>
      <c r="M69" s="617">
        <v>0</v>
      </c>
      <c r="N69" s="617"/>
      <c r="O69" s="612">
        <v>3217.7</v>
      </c>
      <c r="P69" s="611">
        <v>3217.7</v>
      </c>
      <c r="Q69" s="611">
        <v>0</v>
      </c>
      <c r="R69" s="611"/>
      <c r="S69" s="611">
        <v>0</v>
      </c>
      <c r="T69" s="611"/>
      <c r="U69" s="611"/>
      <c r="V69" s="611"/>
      <c r="W69" s="611">
        <v>0</v>
      </c>
      <c r="X69" s="611"/>
      <c r="Y69" s="611">
        <v>0</v>
      </c>
      <c r="Z69" s="611"/>
      <c r="AA69" s="611">
        <v>0</v>
      </c>
      <c r="AB69" s="611"/>
      <c r="AC69" s="613"/>
      <c r="AD69" s="613"/>
      <c r="AE69" s="613"/>
      <c r="AF69" s="613"/>
      <c r="AG69" s="612">
        <f t="shared" si="5"/>
        <v>-2184.6839999999829</v>
      </c>
      <c r="AH69" s="601"/>
      <c r="AI69" s="476">
        <v>3416.9060000000172</v>
      </c>
      <c r="AJ69" s="476"/>
      <c r="AK69" s="476">
        <f t="shared" si="6"/>
        <v>4480.2700000000004</v>
      </c>
      <c r="AL69" s="537">
        <f t="shared" si="7"/>
        <v>10081.86</v>
      </c>
      <c r="AM69" s="474">
        <f t="shared" si="3"/>
        <v>-2184.6839999999829</v>
      </c>
      <c r="AN69" s="327">
        <f t="shared" si="4"/>
        <v>0</v>
      </c>
    </row>
    <row r="70" spans="1:41" s="538" customFormat="1" x14ac:dyDescent="0.45">
      <c r="A70" s="692" t="s">
        <v>76</v>
      </c>
      <c r="B70" s="609">
        <v>-6676.2799999998833</v>
      </c>
      <c r="C70" s="620"/>
      <c r="D70" s="621"/>
      <c r="E70" s="609">
        <v>0</v>
      </c>
      <c r="F70" s="609"/>
      <c r="G70" s="611">
        <v>0</v>
      </c>
      <c r="H70" s="615"/>
      <c r="I70" s="622">
        <v>0</v>
      </c>
      <c r="J70" s="615"/>
      <c r="K70" s="617">
        <v>0</v>
      </c>
      <c r="L70" s="623"/>
      <c r="M70" s="617">
        <v>0</v>
      </c>
      <c r="N70" s="617"/>
      <c r="O70" s="612">
        <v>0</v>
      </c>
      <c r="P70" s="611"/>
      <c r="Q70" s="611">
        <v>0</v>
      </c>
      <c r="R70" s="611"/>
      <c r="S70" s="611">
        <v>0</v>
      </c>
      <c r="T70" s="611"/>
      <c r="U70" s="611"/>
      <c r="V70" s="611"/>
      <c r="W70" s="611">
        <v>0</v>
      </c>
      <c r="X70" s="611"/>
      <c r="Y70" s="611">
        <v>0</v>
      </c>
      <c r="Z70" s="611"/>
      <c r="AA70" s="611">
        <v>0</v>
      </c>
      <c r="AB70" s="611"/>
      <c r="AC70" s="613"/>
      <c r="AD70" s="613"/>
      <c r="AE70" s="613"/>
      <c r="AF70" s="613"/>
      <c r="AG70" s="612">
        <f t="shared" ref="AG70:AG101" si="8">B70-C70-D70+E70-F70+G70-H70+I70-J70+K70-L70+M70-N70+O70-P70+Q70-R70+S70-T70+U70-V70+W70-X70+Y70-Z70+AA70</f>
        <v>-6676.2799999998833</v>
      </c>
      <c r="AH70" s="601"/>
      <c r="AI70" s="476">
        <v>-6676.2799999998833</v>
      </c>
      <c r="AJ70" s="476"/>
      <c r="AK70" s="476">
        <f t="shared" ref="AK70:AK101" si="9">E70+G70+I70+K70+M70+O70+Q70+S70+U70+W70+Y70+AA70</f>
        <v>0</v>
      </c>
      <c r="AL70" s="537">
        <f t="shared" ref="AL70:AL101" si="10">D70+F70+H70+J70+L70+N70+P70+R70+T70+V70+X70+Z70</f>
        <v>0</v>
      </c>
      <c r="AM70" s="474">
        <f t="shared" si="3"/>
        <v>-6676.2799999998833</v>
      </c>
      <c r="AN70" s="327">
        <f t="shared" si="4"/>
        <v>0</v>
      </c>
    </row>
    <row r="71" spans="1:41" s="538" customFormat="1" x14ac:dyDescent="0.45">
      <c r="A71" s="693" t="s">
        <v>61</v>
      </c>
      <c r="B71" s="609">
        <v>455912.24999999977</v>
      </c>
      <c r="C71" s="620"/>
      <c r="D71" s="621">
        <v>130527.54</v>
      </c>
      <c r="E71" s="621">
        <v>169859.35</v>
      </c>
      <c r="F71" s="624">
        <v>178606.4</v>
      </c>
      <c r="G71" s="639">
        <v>158683.46</v>
      </c>
      <c r="H71" s="622">
        <v>329441.56</v>
      </c>
      <c r="I71" s="621">
        <v>161650.76</v>
      </c>
      <c r="J71" s="622">
        <f>9411.3+103111.49+36317.49+204.78</f>
        <v>149045.06</v>
      </c>
      <c r="K71" s="617">
        <v>177281.19</v>
      </c>
      <c r="L71" s="617">
        <f>9619.56+139.56</f>
        <v>9759.119999999999</v>
      </c>
      <c r="M71" s="617">
        <v>188719.22999999998</v>
      </c>
      <c r="N71" s="617">
        <f>9020+59806.83+8959.33+85614.15+10676.4+11879+6630+11203</f>
        <v>203788.71</v>
      </c>
      <c r="O71" s="612">
        <v>172344.12000000002</v>
      </c>
      <c r="P71" s="611">
        <v>216091.78</v>
      </c>
      <c r="Q71" s="611">
        <v>168368.56999999998</v>
      </c>
      <c r="R71" s="611">
        <f>24358.58+84628.31+8918.27+34785.08+58444.06+59559</f>
        <v>270693.3</v>
      </c>
      <c r="S71" s="611">
        <v>182303.49</v>
      </c>
      <c r="T71" s="611"/>
      <c r="U71" s="611">
        <v>177168.72999999998</v>
      </c>
      <c r="V71" s="611">
        <f>72095.23+7361.3+9753.66+3301.24</f>
        <v>92511.430000000008</v>
      </c>
      <c r="W71" s="611">
        <v>178013.03000000003</v>
      </c>
      <c r="X71" s="611">
        <f>48142.24</f>
        <v>48142.239999999998</v>
      </c>
      <c r="Y71" s="611">
        <v>267973.57</v>
      </c>
      <c r="Z71" s="618">
        <f>178013.03+267973.57</f>
        <v>445986.6</v>
      </c>
      <c r="AA71" s="611">
        <v>191850.25999999998</v>
      </c>
      <c r="AB71" s="611"/>
      <c r="AC71" s="613"/>
      <c r="AD71" s="613"/>
      <c r="AE71" s="613"/>
      <c r="AF71" s="613"/>
      <c r="AG71" s="612">
        <f t="shared" si="8"/>
        <v>575534.2699999999</v>
      </c>
      <c r="AH71" s="601"/>
      <c r="AI71" s="476">
        <v>455912.24999999977</v>
      </c>
      <c r="AJ71" s="476"/>
      <c r="AK71" s="476">
        <f t="shared" si="9"/>
        <v>2194215.7599999998</v>
      </c>
      <c r="AL71" s="537">
        <f t="shared" si="10"/>
        <v>2074593.7399999998</v>
      </c>
      <c r="AM71" s="474">
        <f t="shared" ref="AM71:AM111" si="11">AI71-AJ71+AK71-AL71</f>
        <v>575534.27</v>
      </c>
      <c r="AN71" s="327">
        <f t="shared" ref="AN71:AN109" si="12">C71-AJ71</f>
        <v>0</v>
      </c>
    </row>
    <row r="72" spans="1:41" s="538" customFormat="1" x14ac:dyDescent="0.45">
      <c r="A72" s="693" t="s">
        <v>70</v>
      </c>
      <c r="B72" s="609">
        <v>2144777.5999999987</v>
      </c>
      <c r="C72" s="620">
        <v>2253887.2200000002</v>
      </c>
      <c r="D72" s="621">
        <v>177960.08</v>
      </c>
      <c r="E72" s="621">
        <v>194432.82</v>
      </c>
      <c r="F72" s="621"/>
      <c r="G72" s="625">
        <v>225354.91</v>
      </c>
      <c r="H72" s="621"/>
      <c r="I72" s="621">
        <v>250566.07</v>
      </c>
      <c r="J72" s="609"/>
      <c r="K72" s="617">
        <v>233931.98</v>
      </c>
      <c r="L72" s="617"/>
      <c r="M72" s="617">
        <v>357252.38</v>
      </c>
      <c r="N72" s="617"/>
      <c r="O72" s="612">
        <v>348952.31</v>
      </c>
      <c r="P72" s="611"/>
      <c r="Q72" s="611">
        <v>285835.44999999995</v>
      </c>
      <c r="R72" s="611"/>
      <c r="S72" s="611">
        <v>299741.51</v>
      </c>
      <c r="T72" s="611"/>
      <c r="U72" s="611">
        <v>312603.52000000002</v>
      </c>
      <c r="V72" s="611"/>
      <c r="W72" s="611">
        <v>399139.45</v>
      </c>
      <c r="X72" s="611"/>
      <c r="Y72" s="611">
        <v>287069.7</v>
      </c>
      <c r="Z72" s="611">
        <f>2907810.4</f>
        <v>2907810.4</v>
      </c>
      <c r="AA72" s="611">
        <v>272074.71000000002</v>
      </c>
      <c r="AB72" s="611"/>
      <c r="AC72" s="613"/>
      <c r="AD72" s="613"/>
      <c r="AE72" s="613"/>
      <c r="AF72" s="613"/>
      <c r="AG72" s="612">
        <f t="shared" si="8"/>
        <v>272074.70999999909</v>
      </c>
      <c r="AH72" s="601"/>
      <c r="AI72" s="476">
        <v>2144777.5999999987</v>
      </c>
      <c r="AJ72" s="476">
        <v>2253887.2200000002</v>
      </c>
      <c r="AK72" s="476">
        <f t="shared" si="9"/>
        <v>3466954.8100000005</v>
      </c>
      <c r="AL72" s="537">
        <f t="shared" si="10"/>
        <v>3085770.48</v>
      </c>
      <c r="AM72" s="474">
        <f t="shared" si="11"/>
        <v>272074.70999999903</v>
      </c>
      <c r="AN72" s="327">
        <f t="shared" si="12"/>
        <v>0</v>
      </c>
    </row>
    <row r="73" spans="1:41" s="538" customFormat="1" x14ac:dyDescent="0.45">
      <c r="A73" s="693" t="s">
        <v>58</v>
      </c>
      <c r="B73" s="609">
        <v>657324.29999999795</v>
      </c>
      <c r="C73" s="620"/>
      <c r="D73" s="621">
        <v>657324.30000000005</v>
      </c>
      <c r="E73" s="621">
        <v>646804.18999999994</v>
      </c>
      <c r="F73" s="621"/>
      <c r="G73" s="625">
        <v>609833.2699999999</v>
      </c>
      <c r="H73" s="621">
        <v>1256637.46</v>
      </c>
      <c r="I73" s="621">
        <v>671475.77</v>
      </c>
      <c r="J73" s="621">
        <f>671475.77</f>
        <v>671475.77</v>
      </c>
      <c r="K73" s="626">
        <v>653163.70000000007</v>
      </c>
      <c r="L73" s="609">
        <v>653163.69999999995</v>
      </c>
      <c r="M73" s="609">
        <v>721776.39</v>
      </c>
      <c r="N73" s="615">
        <v>721776.39</v>
      </c>
      <c r="O73" s="612">
        <v>699269.55999999994</v>
      </c>
      <c r="P73" s="611">
        <v>699269.56</v>
      </c>
      <c r="Q73" s="611">
        <v>628547.24</v>
      </c>
      <c r="R73" s="611">
        <v>628547.24</v>
      </c>
      <c r="S73" s="611">
        <v>688878.75</v>
      </c>
      <c r="T73" s="611">
        <v>688878.75</v>
      </c>
      <c r="U73" s="611">
        <v>682547.84000000008</v>
      </c>
      <c r="V73" s="611">
        <v>682547.84</v>
      </c>
      <c r="W73" s="611">
        <v>612412.11</v>
      </c>
      <c r="X73" s="611">
        <v>612412.11</v>
      </c>
      <c r="Y73" s="611">
        <v>697221.59000000008</v>
      </c>
      <c r="Z73" s="611">
        <v>697221.59</v>
      </c>
      <c r="AA73" s="611">
        <v>807623.7300000001</v>
      </c>
      <c r="AB73" s="611"/>
      <c r="AC73" s="613"/>
      <c r="AD73" s="613"/>
      <c r="AE73" s="613"/>
      <c r="AF73" s="613"/>
      <c r="AG73" s="612">
        <f t="shared" si="8"/>
        <v>807623.729999998</v>
      </c>
      <c r="AH73" s="601"/>
      <c r="AI73" s="476">
        <v>657324.29999999795</v>
      </c>
      <c r="AJ73" s="476"/>
      <c r="AK73" s="476">
        <f t="shared" si="9"/>
        <v>8119554.1400000006</v>
      </c>
      <c r="AL73" s="537">
        <f t="shared" si="10"/>
        <v>7969254.7100000009</v>
      </c>
      <c r="AM73" s="474">
        <f t="shared" si="11"/>
        <v>807623.72999999672</v>
      </c>
      <c r="AN73" s="327">
        <f t="shared" si="12"/>
        <v>0</v>
      </c>
    </row>
    <row r="74" spans="1:41" s="538" customFormat="1" x14ac:dyDescent="0.45">
      <c r="A74" s="693" t="s">
        <v>194</v>
      </c>
      <c r="B74" s="609">
        <v>-115236.29000000001</v>
      </c>
      <c r="C74" s="620"/>
      <c r="D74" s="621"/>
      <c r="E74" s="621">
        <v>0</v>
      </c>
      <c r="F74" s="621"/>
      <c r="G74" s="625"/>
      <c r="H74" s="621"/>
      <c r="I74" s="621">
        <v>0</v>
      </c>
      <c r="J74" s="621"/>
      <c r="K74" s="624">
        <v>0</v>
      </c>
      <c r="L74" s="626"/>
      <c r="M74" s="621">
        <v>0</v>
      </c>
      <c r="N74" s="627"/>
      <c r="O74" s="612">
        <v>0</v>
      </c>
      <c r="P74" s="611"/>
      <c r="Q74" s="611">
        <v>0</v>
      </c>
      <c r="R74" s="611"/>
      <c r="S74" s="611">
        <v>0</v>
      </c>
      <c r="T74" s="611"/>
      <c r="U74" s="611"/>
      <c r="V74" s="611"/>
      <c r="W74" s="611">
        <v>0</v>
      </c>
      <c r="X74" s="611"/>
      <c r="Y74" s="611"/>
      <c r="Z74" s="611"/>
      <c r="AA74" s="611">
        <v>0</v>
      </c>
      <c r="AB74" s="611"/>
      <c r="AC74" s="613"/>
      <c r="AD74" s="613"/>
      <c r="AE74" s="613"/>
      <c r="AF74" s="613"/>
      <c r="AG74" s="612">
        <f t="shared" si="8"/>
        <v>-115236.29000000001</v>
      </c>
      <c r="AH74" s="601"/>
      <c r="AI74" s="476">
        <v>-115236.29000000001</v>
      </c>
      <c r="AJ74" s="476"/>
      <c r="AK74" s="476">
        <f t="shared" si="9"/>
        <v>0</v>
      </c>
      <c r="AL74" s="537">
        <f t="shared" si="10"/>
        <v>0</v>
      </c>
      <c r="AM74" s="474">
        <f t="shared" si="11"/>
        <v>-115236.29000000001</v>
      </c>
      <c r="AN74" s="327">
        <f t="shared" si="12"/>
        <v>0</v>
      </c>
    </row>
    <row r="75" spans="1:41" s="538" customFormat="1" x14ac:dyDescent="0.45">
      <c r="A75" s="693" t="s">
        <v>27</v>
      </c>
      <c r="B75" s="609">
        <v>3461522.0099999988</v>
      </c>
      <c r="C75" s="620">
        <v>3737283.93</v>
      </c>
      <c r="D75" s="621">
        <v>254381.59</v>
      </c>
      <c r="E75" s="621">
        <v>383620.84</v>
      </c>
      <c r="F75" s="621"/>
      <c r="G75" s="625">
        <v>275016.59999999998</v>
      </c>
      <c r="H75" s="621">
        <f>262125.38</f>
        <v>262125.38</v>
      </c>
      <c r="I75" s="609">
        <v>156863.13</v>
      </c>
      <c r="J75" s="621">
        <f>237473.74+120010.67</f>
        <v>357484.41</v>
      </c>
      <c r="K75" s="621">
        <v>146723.34999999998</v>
      </c>
      <c r="L75" s="621">
        <f>96951.49</f>
        <v>96951.49</v>
      </c>
      <c r="M75" s="621">
        <v>133749.82</v>
      </c>
      <c r="N75" s="621">
        <v>90488.960000000006</v>
      </c>
      <c r="O75" s="612">
        <v>121400.26999999999</v>
      </c>
      <c r="P75" s="611">
        <v>67393.81</v>
      </c>
      <c r="Q75" s="611">
        <v>117419.88</v>
      </c>
      <c r="R75" s="611">
        <f>75507.75</f>
        <v>75507.75</v>
      </c>
      <c r="S75" s="611">
        <v>99256.51</v>
      </c>
      <c r="T75" s="611">
        <v>59383.51</v>
      </c>
      <c r="U75" s="611">
        <v>105428.42000000001</v>
      </c>
      <c r="V75" s="611"/>
      <c r="W75" s="611">
        <v>61259.320000000007</v>
      </c>
      <c r="X75" s="611">
        <f>64954.93</f>
        <v>64954.93</v>
      </c>
      <c r="Y75" s="611">
        <v>60000.490000000005</v>
      </c>
      <c r="Z75" s="611">
        <f>20785.83</f>
        <v>20785.830000000002</v>
      </c>
      <c r="AA75" s="611">
        <v>105583.49</v>
      </c>
      <c r="AB75" s="611"/>
      <c r="AC75" s="613"/>
      <c r="AD75" s="613"/>
      <c r="AE75" s="613"/>
      <c r="AF75" s="613"/>
      <c r="AG75" s="612">
        <f t="shared" si="8"/>
        <v>141102.53999999873</v>
      </c>
      <c r="AH75" s="601"/>
      <c r="AI75" s="476">
        <v>3461522.0099999988</v>
      </c>
      <c r="AJ75" s="476">
        <v>3737283.93</v>
      </c>
      <c r="AK75" s="476">
        <f t="shared" si="9"/>
        <v>1766322.12</v>
      </c>
      <c r="AL75" s="537">
        <f t="shared" si="10"/>
        <v>1349457.66</v>
      </c>
      <c r="AM75" s="474">
        <f t="shared" si="11"/>
        <v>141102.53999999887</v>
      </c>
      <c r="AN75" s="327">
        <f t="shared" si="12"/>
        <v>0</v>
      </c>
    </row>
    <row r="76" spans="1:41" s="538" customFormat="1" x14ac:dyDescent="0.45">
      <c r="A76" s="692" t="s">
        <v>340</v>
      </c>
      <c r="B76" s="609">
        <v>587667.10200000089</v>
      </c>
      <c r="C76" s="610">
        <v>15946.02</v>
      </c>
      <c r="D76" s="609"/>
      <c r="E76" s="609">
        <v>589604.31000000006</v>
      </c>
      <c r="F76" s="609">
        <v>587667.1</v>
      </c>
      <c r="G76" s="611">
        <v>556104.13</v>
      </c>
      <c r="H76" s="609"/>
      <c r="I76" s="609">
        <v>594269.6</v>
      </c>
      <c r="J76" s="609">
        <f>589604.31+556104.13+594269.6</f>
        <v>1739978.04</v>
      </c>
      <c r="K76" s="614">
        <v>624820.66</v>
      </c>
      <c r="L76" s="609"/>
      <c r="M76" s="609">
        <v>578961.38</v>
      </c>
      <c r="N76" s="609"/>
      <c r="O76" s="612">
        <v>488654.21000000008</v>
      </c>
      <c r="P76" s="611">
        <v>608874.64</v>
      </c>
      <c r="Q76" s="611">
        <v>563697.26</v>
      </c>
      <c r="R76" s="611">
        <f>578961.38+488654.21+563697.26</f>
        <v>1631312.85</v>
      </c>
      <c r="S76" s="611">
        <v>601664.72</v>
      </c>
      <c r="T76" s="611">
        <v>601664.72</v>
      </c>
      <c r="U76" s="611">
        <v>530936.05999999994</v>
      </c>
      <c r="V76" s="611"/>
      <c r="W76" s="611">
        <v>469001.38</v>
      </c>
      <c r="X76" s="611"/>
      <c r="Y76" s="611">
        <v>545235.48</v>
      </c>
      <c r="Z76" s="611">
        <f>999937.44+545235.48</f>
        <v>1545172.92</v>
      </c>
      <c r="AA76" s="611">
        <v>553282.38</v>
      </c>
      <c r="AB76" s="611"/>
      <c r="AC76" s="613"/>
      <c r="AD76" s="613"/>
      <c r="AE76" s="613"/>
      <c r="AF76" s="613"/>
      <c r="AG76" s="612">
        <f t="shared" si="8"/>
        <v>553282.38200000057</v>
      </c>
      <c r="AH76" s="601"/>
      <c r="AI76" s="476">
        <v>587667.10200000089</v>
      </c>
      <c r="AJ76" s="476">
        <v>15946.02</v>
      </c>
      <c r="AK76" s="476">
        <f t="shared" si="9"/>
        <v>6696231.5699999994</v>
      </c>
      <c r="AL76" s="537">
        <f t="shared" si="10"/>
        <v>6714670.2700000005</v>
      </c>
      <c r="AM76" s="474">
        <f t="shared" si="11"/>
        <v>553282.38200000022</v>
      </c>
      <c r="AN76" s="327">
        <f t="shared" si="12"/>
        <v>0</v>
      </c>
    </row>
    <row r="77" spans="1:41" s="538" customFormat="1" x14ac:dyDescent="0.45">
      <c r="A77" s="692" t="s">
        <v>341</v>
      </c>
      <c r="B77" s="609">
        <v>11622246.936000004</v>
      </c>
      <c r="C77" s="610">
        <v>3803952.54</v>
      </c>
      <c r="D77" s="609">
        <v>2161420.56</v>
      </c>
      <c r="E77" s="609">
        <v>8875470.0399999991</v>
      </c>
      <c r="F77" s="609"/>
      <c r="G77" s="611">
        <v>6758461.0600000005</v>
      </c>
      <c r="H77" s="609">
        <v>5626617.5899999999</v>
      </c>
      <c r="I77" s="621">
        <v>6824993.5</v>
      </c>
      <c r="J77" s="609"/>
      <c r="K77" s="609">
        <v>6719015.6100000003</v>
      </c>
      <c r="L77" s="609">
        <f>9446781.41+1156810.49</f>
        <v>10603591.9</v>
      </c>
      <c r="M77" s="609">
        <v>6904541.3100000005</v>
      </c>
      <c r="N77" s="609">
        <v>20299415.27</v>
      </c>
      <c r="O77" s="612">
        <v>8135068.6200000001</v>
      </c>
      <c r="P77" s="611">
        <f>997041.74+155649.06+78553.81+591220.77+178060.94+983680.19+297426.53+791346.13+545507.88+3002333.48+221842.87</f>
        <v>7842663.3999999994</v>
      </c>
      <c r="Q77" s="611">
        <v>6174237.0200000005</v>
      </c>
      <c r="R77" s="611">
        <v>4060809.06</v>
      </c>
      <c r="S77" s="611">
        <v>7244012.9899999993</v>
      </c>
      <c r="T77" s="611">
        <v>8887612.9099999983</v>
      </c>
      <c r="U77" s="611">
        <v>6317311.7300000004</v>
      </c>
      <c r="V77" s="611">
        <v>2840525.9699999997</v>
      </c>
      <c r="W77" s="611">
        <v>6009229.9299999988</v>
      </c>
      <c r="X77" s="611">
        <v>6025249.4399999995</v>
      </c>
      <c r="Y77" s="611">
        <v>6068022.8000000007</v>
      </c>
      <c r="Z77" s="611">
        <v>14485472.180000002</v>
      </c>
      <c r="AA77" s="611">
        <v>6662371.8099999996</v>
      </c>
      <c r="AB77" s="611"/>
      <c r="AC77" s="613"/>
      <c r="AD77" s="613"/>
      <c r="AE77" s="613"/>
      <c r="AF77" s="613"/>
      <c r="AG77" s="612">
        <f t="shared" si="8"/>
        <v>7677652.5360000068</v>
      </c>
      <c r="AH77" s="601"/>
      <c r="AI77" s="476">
        <v>11622246.936000004</v>
      </c>
      <c r="AJ77" s="476">
        <v>3803952.54</v>
      </c>
      <c r="AK77" s="476">
        <f t="shared" si="9"/>
        <v>82692736.420000002</v>
      </c>
      <c r="AL77" s="537">
        <f t="shared" si="10"/>
        <v>82833378.280000001</v>
      </c>
      <c r="AM77" s="474">
        <f t="shared" si="11"/>
        <v>7677652.5359999985</v>
      </c>
      <c r="AN77" s="327">
        <f t="shared" si="12"/>
        <v>0</v>
      </c>
    </row>
    <row r="78" spans="1:41" s="538" customFormat="1" x14ac:dyDescent="0.45">
      <c r="A78" s="693" t="s">
        <v>342</v>
      </c>
      <c r="B78" s="609">
        <v>298892.78999999998</v>
      </c>
      <c r="C78" s="610">
        <v>336440.69</v>
      </c>
      <c r="D78" s="609"/>
      <c r="E78" s="609">
        <v>0</v>
      </c>
      <c r="F78" s="609"/>
      <c r="G78" s="611">
        <v>11668.6</v>
      </c>
      <c r="H78" s="609"/>
      <c r="I78" s="609">
        <v>0</v>
      </c>
      <c r="J78" s="621"/>
      <c r="K78" s="621">
        <v>0</v>
      </c>
      <c r="L78" s="621"/>
      <c r="M78" s="621">
        <v>12579.01</v>
      </c>
      <c r="N78" s="621"/>
      <c r="O78" s="612">
        <v>4928.3099999999995</v>
      </c>
      <c r="P78" s="611"/>
      <c r="Q78" s="611">
        <v>0</v>
      </c>
      <c r="R78" s="611"/>
      <c r="S78" s="611">
        <v>8371.98</v>
      </c>
      <c r="T78" s="611"/>
      <c r="U78" s="611"/>
      <c r="V78" s="611"/>
      <c r="W78" s="611">
        <v>0</v>
      </c>
      <c r="X78" s="611"/>
      <c r="Y78" s="611">
        <v>0</v>
      </c>
      <c r="Z78" s="618"/>
      <c r="AA78" s="611">
        <v>0</v>
      </c>
      <c r="AB78" s="611"/>
      <c r="AC78" s="613"/>
      <c r="AD78" s="613"/>
      <c r="AE78" s="613"/>
      <c r="AF78" s="613"/>
      <c r="AG78" s="612">
        <f t="shared" si="8"/>
        <v>-2.5465851649641991E-11</v>
      </c>
      <c r="AH78" s="601"/>
      <c r="AI78" s="476">
        <v>298892.78999999998</v>
      </c>
      <c r="AJ78" s="476">
        <v>336440.69</v>
      </c>
      <c r="AK78" s="476">
        <f t="shared" si="9"/>
        <v>37547.899999999994</v>
      </c>
      <c r="AL78" s="537">
        <f t="shared" si="10"/>
        <v>0</v>
      </c>
      <c r="AM78" s="474">
        <f t="shared" si="11"/>
        <v>-2.9103830456733704E-11</v>
      </c>
      <c r="AN78" s="327">
        <f t="shared" si="12"/>
        <v>0</v>
      </c>
    </row>
    <row r="79" spans="1:41" s="538" customFormat="1" x14ac:dyDescent="0.45">
      <c r="A79" s="692" t="s">
        <v>369</v>
      </c>
      <c r="B79" s="609">
        <v>526</v>
      </c>
      <c r="C79" s="610">
        <v>526</v>
      </c>
      <c r="D79" s="609"/>
      <c r="E79" s="609">
        <v>0</v>
      </c>
      <c r="F79" s="609"/>
      <c r="G79" s="611"/>
      <c r="H79" s="609"/>
      <c r="I79" s="621">
        <v>0</v>
      </c>
      <c r="J79" s="609"/>
      <c r="K79" s="609">
        <v>0</v>
      </c>
      <c r="L79" s="609"/>
      <c r="M79" s="609">
        <v>0</v>
      </c>
      <c r="N79" s="609"/>
      <c r="O79" s="612">
        <v>0</v>
      </c>
      <c r="P79" s="611"/>
      <c r="Q79" s="611">
        <v>0</v>
      </c>
      <c r="R79" s="611"/>
      <c r="S79" s="611">
        <v>0</v>
      </c>
      <c r="T79" s="611"/>
      <c r="U79" s="611"/>
      <c r="V79" s="611"/>
      <c r="W79" s="611">
        <v>0</v>
      </c>
      <c r="X79" s="611"/>
      <c r="Y79" s="611">
        <v>0</v>
      </c>
      <c r="Z79" s="611"/>
      <c r="AA79" s="611">
        <v>834.78</v>
      </c>
      <c r="AB79" s="611"/>
      <c r="AC79" s="613"/>
      <c r="AD79" s="613"/>
      <c r="AE79" s="613"/>
      <c r="AF79" s="613"/>
      <c r="AG79" s="612">
        <f t="shared" si="8"/>
        <v>834.78</v>
      </c>
      <c r="AH79" s="601"/>
      <c r="AI79" s="476">
        <v>526</v>
      </c>
      <c r="AJ79" s="476">
        <v>526</v>
      </c>
      <c r="AK79" s="476">
        <f t="shared" si="9"/>
        <v>834.78</v>
      </c>
      <c r="AL79" s="537">
        <f t="shared" si="10"/>
        <v>0</v>
      </c>
      <c r="AM79" s="474">
        <f t="shared" si="11"/>
        <v>834.78</v>
      </c>
      <c r="AN79" s="327">
        <f t="shared" si="12"/>
        <v>0</v>
      </c>
    </row>
    <row r="80" spans="1:41" s="538" customFormat="1" x14ac:dyDescent="0.45">
      <c r="A80" s="693" t="s">
        <v>370</v>
      </c>
      <c r="B80" s="609">
        <v>-31779.920000000857</v>
      </c>
      <c r="C80" s="620"/>
      <c r="D80" s="621">
        <v>20086.88</v>
      </c>
      <c r="E80" s="621">
        <v>184149.31</v>
      </c>
      <c r="F80" s="621">
        <v>173842.31</v>
      </c>
      <c r="G80" s="625">
        <v>179030.58000000002</v>
      </c>
      <c r="H80" s="621">
        <f>37858.02+168723.58</f>
        <v>206581.59999999998</v>
      </c>
      <c r="I80" s="621">
        <v>188797.63999999998</v>
      </c>
      <c r="J80" s="621">
        <f>178490.64</f>
        <v>178490.64</v>
      </c>
      <c r="K80" s="621">
        <v>185342.41999999998</v>
      </c>
      <c r="L80" s="621">
        <f>175035.42</f>
        <v>175035.42</v>
      </c>
      <c r="M80" s="621">
        <v>181637.09</v>
      </c>
      <c r="N80" s="621">
        <v>171330.09</v>
      </c>
      <c r="O80" s="612">
        <v>177395.46999999997</v>
      </c>
      <c r="P80" s="611">
        <v>177395.47</v>
      </c>
      <c r="Q80" s="611">
        <v>179074.43</v>
      </c>
      <c r="R80" s="611">
        <f>179074.43</f>
        <v>179074.43</v>
      </c>
      <c r="S80" s="611">
        <v>175601.68999999997</v>
      </c>
      <c r="T80" s="611"/>
      <c r="U80" s="611">
        <v>160612.57</v>
      </c>
      <c r="V80" s="611">
        <v>336214.26</v>
      </c>
      <c r="W80" s="611">
        <v>164525.06</v>
      </c>
      <c r="X80" s="611">
        <v>126335.24</v>
      </c>
      <c r="Y80" s="611">
        <v>149160.59</v>
      </c>
      <c r="Z80" s="611">
        <f>149160.59+111838</f>
        <v>260998.59</v>
      </c>
      <c r="AA80" s="611">
        <v>155735.70000000001</v>
      </c>
      <c r="AB80" s="611"/>
      <c r="AC80" s="613"/>
      <c r="AD80" s="613"/>
      <c r="AE80" s="613"/>
      <c r="AF80" s="613"/>
      <c r="AG80" s="612">
        <f t="shared" si="8"/>
        <v>43897.699999999051</v>
      </c>
      <c r="AH80" s="601"/>
      <c r="AI80" s="476">
        <v>-31779.920000000857</v>
      </c>
      <c r="AJ80" s="476"/>
      <c r="AK80" s="476">
        <f t="shared" si="9"/>
        <v>2081062.5499999998</v>
      </c>
      <c r="AL80" s="537">
        <f t="shared" si="10"/>
        <v>2005384.93</v>
      </c>
      <c r="AM80" s="474">
        <f t="shared" si="11"/>
        <v>43897.699999999022</v>
      </c>
      <c r="AN80" s="327">
        <f t="shared" si="12"/>
        <v>0</v>
      </c>
    </row>
    <row r="81" spans="1:72" s="538" customFormat="1" x14ac:dyDescent="0.45">
      <c r="A81" s="693" t="s">
        <v>371</v>
      </c>
      <c r="B81" s="609">
        <v>-207956.99000000008</v>
      </c>
      <c r="C81" s="620"/>
      <c r="D81" s="621"/>
      <c r="E81" s="621">
        <v>0</v>
      </c>
      <c r="F81" s="621"/>
      <c r="G81" s="625">
        <v>0</v>
      </c>
      <c r="H81" s="621"/>
      <c r="I81" s="621">
        <v>0</v>
      </c>
      <c r="J81" s="621"/>
      <c r="K81" s="621">
        <v>0</v>
      </c>
      <c r="L81" s="621"/>
      <c r="M81" s="621">
        <v>0</v>
      </c>
      <c r="N81" s="621"/>
      <c r="O81" s="612">
        <v>0</v>
      </c>
      <c r="P81" s="611"/>
      <c r="Q81" s="611">
        <v>0</v>
      </c>
      <c r="R81" s="611"/>
      <c r="S81" s="611">
        <v>0</v>
      </c>
      <c r="T81" s="611"/>
      <c r="U81" s="611"/>
      <c r="V81" s="611"/>
      <c r="W81" s="611">
        <v>0</v>
      </c>
      <c r="X81" s="611"/>
      <c r="Y81" s="611">
        <v>0</v>
      </c>
      <c r="Z81" s="611"/>
      <c r="AA81" s="611">
        <v>0</v>
      </c>
      <c r="AB81" s="611"/>
      <c r="AC81" s="613"/>
      <c r="AD81" s="613"/>
      <c r="AE81" s="613"/>
      <c r="AF81" s="613"/>
      <c r="AG81" s="612">
        <f t="shared" si="8"/>
        <v>-207956.99000000008</v>
      </c>
      <c r="AH81" s="601"/>
      <c r="AI81" s="476">
        <v>-207956.99000000008</v>
      </c>
      <c r="AJ81" s="476"/>
      <c r="AK81" s="476">
        <f t="shared" si="9"/>
        <v>0</v>
      </c>
      <c r="AL81" s="537">
        <f t="shared" si="10"/>
        <v>0</v>
      </c>
      <c r="AM81" s="474">
        <f t="shared" si="11"/>
        <v>-207956.99000000008</v>
      </c>
      <c r="AN81" s="327">
        <f t="shared" si="12"/>
        <v>0</v>
      </c>
    </row>
    <row r="82" spans="1:72" s="538" customFormat="1" x14ac:dyDescent="0.45">
      <c r="A82" s="693" t="s">
        <v>435</v>
      </c>
      <c r="B82" s="609">
        <v>-39944.120000000003</v>
      </c>
      <c r="C82" s="620"/>
      <c r="D82" s="621"/>
      <c r="E82" s="621">
        <v>0</v>
      </c>
      <c r="F82" s="621"/>
      <c r="G82" s="625">
        <v>0</v>
      </c>
      <c r="H82" s="621"/>
      <c r="I82" s="621">
        <v>0</v>
      </c>
      <c r="J82" s="621"/>
      <c r="K82" s="621">
        <v>0</v>
      </c>
      <c r="L82" s="621"/>
      <c r="M82" s="621">
        <v>0</v>
      </c>
      <c r="N82" s="621"/>
      <c r="O82" s="612">
        <v>0</v>
      </c>
      <c r="P82" s="611"/>
      <c r="Q82" s="611">
        <v>0</v>
      </c>
      <c r="R82" s="611"/>
      <c r="S82" s="611">
        <v>0</v>
      </c>
      <c r="T82" s="611"/>
      <c r="U82" s="611"/>
      <c r="V82" s="611"/>
      <c r="W82" s="611">
        <v>0</v>
      </c>
      <c r="X82" s="611"/>
      <c r="Y82" s="611">
        <v>0</v>
      </c>
      <c r="Z82" s="611"/>
      <c r="AA82" s="611">
        <v>0</v>
      </c>
      <c r="AB82" s="611"/>
      <c r="AC82" s="613"/>
      <c r="AD82" s="613"/>
      <c r="AE82" s="613"/>
      <c r="AF82" s="613"/>
      <c r="AG82" s="612">
        <f t="shared" si="8"/>
        <v>-39944.120000000003</v>
      </c>
      <c r="AH82" s="601"/>
      <c r="AI82" s="476">
        <v>-39944.120000000003</v>
      </c>
      <c r="AJ82" s="476"/>
      <c r="AK82" s="476">
        <f t="shared" si="9"/>
        <v>0</v>
      </c>
      <c r="AL82" s="537">
        <f t="shared" si="10"/>
        <v>0</v>
      </c>
      <c r="AM82" s="474">
        <f t="shared" si="11"/>
        <v>-39944.120000000003</v>
      </c>
      <c r="AN82" s="327">
        <f t="shared" si="12"/>
        <v>0</v>
      </c>
    </row>
    <row r="83" spans="1:72" s="538" customFormat="1" x14ac:dyDescent="0.45">
      <c r="A83" s="693" t="s">
        <v>438</v>
      </c>
      <c r="B83" s="609">
        <v>-1120862.76</v>
      </c>
      <c r="C83" s="620"/>
      <c r="D83" s="621"/>
      <c r="E83" s="621">
        <v>0</v>
      </c>
      <c r="F83" s="621"/>
      <c r="G83" s="625">
        <v>0</v>
      </c>
      <c r="H83" s="621"/>
      <c r="I83" s="621">
        <v>0</v>
      </c>
      <c r="J83" s="621"/>
      <c r="K83" s="621">
        <v>0</v>
      </c>
      <c r="L83" s="621"/>
      <c r="M83" s="621">
        <v>0</v>
      </c>
      <c r="N83" s="621"/>
      <c r="O83" s="612">
        <v>0</v>
      </c>
      <c r="P83" s="611"/>
      <c r="Q83" s="611">
        <v>0</v>
      </c>
      <c r="R83" s="611"/>
      <c r="S83" s="611">
        <v>0</v>
      </c>
      <c r="T83" s="611"/>
      <c r="U83" s="611"/>
      <c r="V83" s="611"/>
      <c r="W83" s="611">
        <v>0</v>
      </c>
      <c r="X83" s="611"/>
      <c r="Y83" s="611">
        <v>0</v>
      </c>
      <c r="Z83" s="611"/>
      <c r="AA83" s="611">
        <v>0</v>
      </c>
      <c r="AB83" s="611"/>
      <c r="AC83" s="613"/>
      <c r="AD83" s="613"/>
      <c r="AE83" s="613"/>
      <c r="AF83" s="613"/>
      <c r="AG83" s="612">
        <f t="shared" si="8"/>
        <v>-1120862.76</v>
      </c>
      <c r="AH83" s="601"/>
      <c r="AI83" s="476">
        <v>-1120862.76</v>
      </c>
      <c r="AJ83" s="476"/>
      <c r="AK83" s="476">
        <f t="shared" si="9"/>
        <v>0</v>
      </c>
      <c r="AL83" s="537">
        <f t="shared" si="10"/>
        <v>0</v>
      </c>
      <c r="AM83" s="474">
        <f t="shared" si="11"/>
        <v>-1120862.76</v>
      </c>
      <c r="AN83" s="327">
        <f t="shared" si="12"/>
        <v>0</v>
      </c>
    </row>
    <row r="84" spans="1:72" s="538" customFormat="1" x14ac:dyDescent="0.45">
      <c r="A84" s="693" t="s">
        <v>439</v>
      </c>
      <c r="B84" s="609">
        <v>-21803.759999999998</v>
      </c>
      <c r="C84" s="620"/>
      <c r="D84" s="621"/>
      <c r="E84" s="621">
        <v>0</v>
      </c>
      <c r="F84" s="621"/>
      <c r="G84" s="625">
        <v>0</v>
      </c>
      <c r="H84" s="621"/>
      <c r="I84" s="621">
        <v>0</v>
      </c>
      <c r="J84" s="621"/>
      <c r="K84" s="621">
        <v>0</v>
      </c>
      <c r="L84" s="621"/>
      <c r="M84" s="621">
        <v>0</v>
      </c>
      <c r="N84" s="621"/>
      <c r="O84" s="612">
        <v>0</v>
      </c>
      <c r="P84" s="611"/>
      <c r="Q84" s="611">
        <v>0</v>
      </c>
      <c r="R84" s="611"/>
      <c r="S84" s="611">
        <v>0</v>
      </c>
      <c r="T84" s="611"/>
      <c r="U84" s="611"/>
      <c r="V84" s="611"/>
      <c r="W84" s="611">
        <v>0</v>
      </c>
      <c r="X84" s="611"/>
      <c r="Y84" s="611">
        <v>0</v>
      </c>
      <c r="Z84" s="611"/>
      <c r="AA84" s="611">
        <v>0</v>
      </c>
      <c r="AB84" s="611"/>
      <c r="AC84" s="613"/>
      <c r="AD84" s="613"/>
      <c r="AE84" s="613"/>
      <c r="AF84" s="613"/>
      <c r="AG84" s="612">
        <f t="shared" si="8"/>
        <v>-21803.759999999998</v>
      </c>
      <c r="AH84" s="601"/>
      <c r="AI84" s="476">
        <v>-21803.759999999998</v>
      </c>
      <c r="AJ84" s="476"/>
      <c r="AK84" s="476">
        <f t="shared" si="9"/>
        <v>0</v>
      </c>
      <c r="AL84" s="537">
        <f t="shared" si="10"/>
        <v>0</v>
      </c>
      <c r="AM84" s="474">
        <f t="shared" si="11"/>
        <v>-21803.759999999998</v>
      </c>
      <c r="AN84" s="327">
        <f t="shared" si="12"/>
        <v>0</v>
      </c>
    </row>
    <row r="85" spans="1:72" s="538" customFormat="1" x14ac:dyDescent="0.45">
      <c r="A85" s="693" t="s">
        <v>343</v>
      </c>
      <c r="B85" s="609">
        <v>-36.199999999837019</v>
      </c>
      <c r="C85" s="620"/>
      <c r="D85" s="621"/>
      <c r="E85" s="621">
        <v>0</v>
      </c>
      <c r="F85" s="621"/>
      <c r="G85" s="625">
        <v>0</v>
      </c>
      <c r="H85" s="621"/>
      <c r="I85" s="621">
        <v>0</v>
      </c>
      <c r="J85" s="621"/>
      <c r="K85" s="621">
        <v>0</v>
      </c>
      <c r="L85" s="621"/>
      <c r="M85" s="621">
        <v>0</v>
      </c>
      <c r="N85" s="621"/>
      <c r="O85" s="628">
        <v>0</v>
      </c>
      <c r="P85" s="611"/>
      <c r="Q85" s="611">
        <v>0</v>
      </c>
      <c r="R85" s="611"/>
      <c r="S85" s="611">
        <v>0</v>
      </c>
      <c r="T85" s="611"/>
      <c r="U85" s="611"/>
      <c r="V85" s="611"/>
      <c r="W85" s="611">
        <v>0</v>
      </c>
      <c r="X85" s="611"/>
      <c r="Y85" s="611">
        <v>0</v>
      </c>
      <c r="Z85" s="611"/>
      <c r="AA85" s="611">
        <v>0</v>
      </c>
      <c r="AB85" s="611"/>
      <c r="AC85" s="613"/>
      <c r="AD85" s="613"/>
      <c r="AE85" s="613"/>
      <c r="AF85" s="613"/>
      <c r="AG85" s="612">
        <f t="shared" si="8"/>
        <v>-36.199999999837019</v>
      </c>
      <c r="AH85" s="601"/>
      <c r="AI85" s="476">
        <v>-36.199999999837019</v>
      </c>
      <c r="AJ85" s="476"/>
      <c r="AK85" s="476">
        <f t="shared" si="9"/>
        <v>0</v>
      </c>
      <c r="AL85" s="537">
        <f t="shared" si="10"/>
        <v>0</v>
      </c>
      <c r="AM85" s="474">
        <f t="shared" si="11"/>
        <v>-36.199999999837019</v>
      </c>
      <c r="AN85" s="327">
        <f t="shared" si="12"/>
        <v>0</v>
      </c>
    </row>
    <row r="86" spans="1:72" s="538" customFormat="1" x14ac:dyDescent="0.45">
      <c r="A86" s="693" t="s">
        <v>463</v>
      </c>
      <c r="B86" s="609">
        <v>2509.75</v>
      </c>
      <c r="C86" s="620">
        <v>2509.75</v>
      </c>
      <c r="D86" s="621"/>
      <c r="E86" s="621">
        <v>0</v>
      </c>
      <c r="F86" s="621"/>
      <c r="G86" s="625">
        <v>0</v>
      </c>
      <c r="H86" s="621"/>
      <c r="I86" s="609">
        <v>0</v>
      </c>
      <c r="J86" s="621"/>
      <c r="K86" s="621">
        <v>0</v>
      </c>
      <c r="L86" s="621"/>
      <c r="M86" s="621">
        <v>0</v>
      </c>
      <c r="N86" s="621"/>
      <c r="O86" s="612">
        <v>0</v>
      </c>
      <c r="P86" s="611"/>
      <c r="Q86" s="611">
        <v>0</v>
      </c>
      <c r="R86" s="611"/>
      <c r="S86" s="611">
        <v>0</v>
      </c>
      <c r="T86" s="611"/>
      <c r="U86" s="611"/>
      <c r="V86" s="611"/>
      <c r="W86" s="611">
        <v>0</v>
      </c>
      <c r="X86" s="611"/>
      <c r="Y86" s="611">
        <v>0</v>
      </c>
      <c r="Z86" s="611"/>
      <c r="AA86" s="611">
        <v>0</v>
      </c>
      <c r="AB86" s="611"/>
      <c r="AC86" s="613"/>
      <c r="AD86" s="613"/>
      <c r="AE86" s="613"/>
      <c r="AF86" s="613"/>
      <c r="AG86" s="612">
        <f t="shared" si="8"/>
        <v>0</v>
      </c>
      <c r="AH86" s="601"/>
      <c r="AI86" s="476">
        <v>2509.75</v>
      </c>
      <c r="AJ86" s="476">
        <v>2509.75</v>
      </c>
      <c r="AK86" s="476">
        <f t="shared" si="9"/>
        <v>0</v>
      </c>
      <c r="AL86" s="537">
        <f t="shared" si="10"/>
        <v>0</v>
      </c>
      <c r="AM86" s="474">
        <f t="shared" si="11"/>
        <v>0</v>
      </c>
      <c r="AN86" s="327">
        <f t="shared" si="12"/>
        <v>0</v>
      </c>
    </row>
    <row r="87" spans="1:72" s="538" customFormat="1" x14ac:dyDescent="0.45">
      <c r="A87" s="692" t="s">
        <v>501</v>
      </c>
      <c r="B87" s="609">
        <v>178740.50000000803</v>
      </c>
      <c r="C87" s="610"/>
      <c r="D87" s="609"/>
      <c r="E87" s="609">
        <v>0</v>
      </c>
      <c r="F87" s="609"/>
      <c r="G87" s="611">
        <v>0</v>
      </c>
      <c r="H87" s="609"/>
      <c r="I87" s="609">
        <v>9674.5300000000007</v>
      </c>
      <c r="J87" s="609"/>
      <c r="K87" s="609">
        <v>30691.86</v>
      </c>
      <c r="L87" s="609"/>
      <c r="M87" s="609">
        <v>69398.020000000019</v>
      </c>
      <c r="N87" s="609"/>
      <c r="O87" s="609">
        <v>65629.119999999995</v>
      </c>
      <c r="P87" s="611"/>
      <c r="Q87" s="611">
        <v>46090.369999999995</v>
      </c>
      <c r="R87" s="611">
        <v>327704.82</v>
      </c>
      <c r="S87" s="611">
        <v>47585.490000000005</v>
      </c>
      <c r="T87" s="611">
        <v>21617.98</v>
      </c>
      <c r="U87" s="611">
        <v>47606.54</v>
      </c>
      <c r="V87" s="611">
        <f>64.5</f>
        <v>64.5</v>
      </c>
      <c r="W87" s="611">
        <v>52564.29</v>
      </c>
      <c r="X87" s="611">
        <f>7237.91</f>
        <v>7237.91</v>
      </c>
      <c r="Y87" s="611">
        <v>49128.409999999996</v>
      </c>
      <c r="Z87" s="611"/>
      <c r="AA87" s="611">
        <v>49949.84</v>
      </c>
      <c r="AB87" s="611"/>
      <c r="AC87" s="613"/>
      <c r="AD87" s="613"/>
      <c r="AE87" s="613"/>
      <c r="AF87" s="613"/>
      <c r="AG87" s="612">
        <f t="shared" si="8"/>
        <v>290433.76000000804</v>
      </c>
      <c r="AH87" s="601"/>
      <c r="AI87" s="476">
        <v>178740.50000000803</v>
      </c>
      <c r="AJ87" s="476"/>
      <c r="AK87" s="476">
        <f t="shared" si="9"/>
        <v>468318.47</v>
      </c>
      <c r="AL87" s="537">
        <f t="shared" si="10"/>
        <v>356625.20999999996</v>
      </c>
      <c r="AM87" s="474">
        <f t="shared" si="11"/>
        <v>290433.76000000804</v>
      </c>
      <c r="AN87" s="327">
        <f t="shared" si="12"/>
        <v>0</v>
      </c>
    </row>
    <row r="88" spans="1:72" s="538" customFormat="1" x14ac:dyDescent="0.45">
      <c r="A88" s="693" t="s">
        <v>441</v>
      </c>
      <c r="B88" s="609">
        <v>-135954.03000000003</v>
      </c>
      <c r="C88" s="620"/>
      <c r="D88" s="621"/>
      <c r="E88" s="621">
        <v>0</v>
      </c>
      <c r="F88" s="621"/>
      <c r="G88" s="625">
        <v>0</v>
      </c>
      <c r="H88" s="621"/>
      <c r="I88" s="609">
        <v>0</v>
      </c>
      <c r="J88" s="621"/>
      <c r="K88" s="621"/>
      <c r="L88" s="621"/>
      <c r="M88" s="621">
        <v>0</v>
      </c>
      <c r="N88" s="621"/>
      <c r="O88" s="621">
        <v>0</v>
      </c>
      <c r="P88" s="625"/>
      <c r="Q88" s="625">
        <v>0</v>
      </c>
      <c r="R88" s="625"/>
      <c r="S88" s="625">
        <v>0</v>
      </c>
      <c r="T88" s="625"/>
      <c r="U88" s="625"/>
      <c r="V88" s="625"/>
      <c r="W88" s="625">
        <v>0</v>
      </c>
      <c r="X88" s="625"/>
      <c r="Y88" s="611">
        <v>0</v>
      </c>
      <c r="Z88" s="625"/>
      <c r="AA88" s="625">
        <v>0</v>
      </c>
      <c r="AB88" s="625"/>
      <c r="AC88" s="629"/>
      <c r="AD88" s="629"/>
      <c r="AE88" s="629"/>
      <c r="AF88" s="629"/>
      <c r="AG88" s="612">
        <f t="shared" si="8"/>
        <v>-135954.03000000003</v>
      </c>
      <c r="AH88" s="601"/>
      <c r="AI88" s="476">
        <v>-135954.03000000003</v>
      </c>
      <c r="AJ88" s="476"/>
      <c r="AK88" s="476">
        <f t="shared" si="9"/>
        <v>0</v>
      </c>
      <c r="AL88" s="537">
        <f t="shared" si="10"/>
        <v>0</v>
      </c>
      <c r="AM88" s="474">
        <f t="shared" si="11"/>
        <v>-135954.03000000003</v>
      </c>
      <c r="AN88" s="327">
        <f t="shared" si="12"/>
        <v>0</v>
      </c>
    </row>
    <row r="89" spans="1:72" s="538" customFormat="1" x14ac:dyDescent="0.45">
      <c r="A89" s="693" t="s">
        <v>480</v>
      </c>
      <c r="B89" s="621">
        <v>29250.65</v>
      </c>
      <c r="C89" s="620"/>
      <c r="D89" s="621"/>
      <c r="E89" s="621">
        <v>44376.98</v>
      </c>
      <c r="F89" s="621">
        <v>26860.06</v>
      </c>
      <c r="G89" s="625">
        <v>43164.76</v>
      </c>
      <c r="H89" s="621">
        <v>2390.59</v>
      </c>
      <c r="I89" s="609">
        <v>113.91</v>
      </c>
      <c r="J89" s="621">
        <v>43278.67</v>
      </c>
      <c r="K89" s="621"/>
      <c r="L89" s="621"/>
      <c r="M89" s="621"/>
      <c r="N89" s="621"/>
      <c r="O89" s="621">
        <v>0</v>
      </c>
      <c r="P89" s="625"/>
      <c r="Q89" s="625">
        <v>0</v>
      </c>
      <c r="R89" s="625">
        <v>44376.98</v>
      </c>
      <c r="S89" s="625">
        <v>0</v>
      </c>
      <c r="T89" s="625"/>
      <c r="U89" s="625"/>
      <c r="V89" s="625"/>
      <c r="W89" s="625">
        <v>0</v>
      </c>
      <c r="X89" s="625"/>
      <c r="Y89" s="611">
        <v>0</v>
      </c>
      <c r="Z89" s="625"/>
      <c r="AA89" s="625">
        <v>0</v>
      </c>
      <c r="AB89" s="625"/>
      <c r="AC89" s="629"/>
      <c r="AD89" s="629"/>
      <c r="AE89" s="629"/>
      <c r="AF89" s="629"/>
      <c r="AG89" s="612">
        <f t="shared" si="8"/>
        <v>2.1827872842550278E-11</v>
      </c>
      <c r="AH89" s="602"/>
      <c r="AI89" s="488">
        <v>29250.65</v>
      </c>
      <c r="AJ89" s="488"/>
      <c r="AK89" s="476">
        <f t="shared" si="9"/>
        <v>87655.650000000009</v>
      </c>
      <c r="AL89" s="537">
        <f t="shared" si="10"/>
        <v>116906.30000000002</v>
      </c>
      <c r="AM89" s="474">
        <f t="shared" si="11"/>
        <v>0</v>
      </c>
      <c r="AN89" s="327">
        <f t="shared" si="12"/>
        <v>0</v>
      </c>
    </row>
    <row r="90" spans="1:72" s="538" customFormat="1" x14ac:dyDescent="0.45">
      <c r="A90" s="693" t="s">
        <v>481</v>
      </c>
      <c r="B90" s="621">
        <v>105565.84</v>
      </c>
      <c r="C90" s="620"/>
      <c r="D90" s="621"/>
      <c r="E90" s="621">
        <v>114</v>
      </c>
      <c r="F90" s="621"/>
      <c r="G90" s="625">
        <v>14065.07</v>
      </c>
      <c r="H90" s="621"/>
      <c r="I90" s="609">
        <v>50674.86</v>
      </c>
      <c r="J90" s="621"/>
      <c r="K90" s="621">
        <v>56674.82</v>
      </c>
      <c r="L90" s="621"/>
      <c r="M90" s="621">
        <v>45250.04</v>
      </c>
      <c r="N90" s="621"/>
      <c r="O90" s="621">
        <v>5349.81</v>
      </c>
      <c r="P90" s="625"/>
      <c r="Q90" s="625">
        <v>0</v>
      </c>
      <c r="R90" s="625"/>
      <c r="S90" s="625">
        <v>342.42</v>
      </c>
      <c r="T90" s="625"/>
      <c r="U90" s="625"/>
      <c r="V90" s="625">
        <v>278036.86</v>
      </c>
      <c r="W90" s="625">
        <v>0</v>
      </c>
      <c r="X90" s="625"/>
      <c r="Y90" s="614">
        <v>0</v>
      </c>
      <c r="Z90" s="625"/>
      <c r="AA90" s="625">
        <v>10218.299999999999</v>
      </c>
      <c r="AB90" s="625"/>
      <c r="AC90" s="629"/>
      <c r="AD90" s="629"/>
      <c r="AE90" s="629"/>
      <c r="AF90" s="629"/>
      <c r="AG90" s="612">
        <f t="shared" si="8"/>
        <v>10218.299999999999</v>
      </c>
      <c r="AH90" s="602"/>
      <c r="AI90" s="488">
        <v>105565.84</v>
      </c>
      <c r="AJ90" s="488"/>
      <c r="AK90" s="476">
        <f t="shared" si="9"/>
        <v>182689.32</v>
      </c>
      <c r="AL90" s="537">
        <f t="shared" si="10"/>
        <v>278036.86</v>
      </c>
      <c r="AM90" s="474">
        <f t="shared" si="11"/>
        <v>10218.300000000047</v>
      </c>
      <c r="AN90" s="327">
        <f t="shared" si="12"/>
        <v>0</v>
      </c>
    </row>
    <row r="91" spans="1:72" s="538" customFormat="1" x14ac:dyDescent="0.45">
      <c r="A91" s="693" t="s">
        <v>465</v>
      </c>
      <c r="B91" s="621">
        <v>30474.28</v>
      </c>
      <c r="C91" s="620"/>
      <c r="D91" s="621"/>
      <c r="E91" s="621">
        <v>0</v>
      </c>
      <c r="F91" s="621"/>
      <c r="G91" s="625">
        <v>0</v>
      </c>
      <c r="H91" s="621"/>
      <c r="I91" s="609">
        <v>18353.149999999998</v>
      </c>
      <c r="J91" s="621"/>
      <c r="K91" s="621">
        <v>22360.560000000001</v>
      </c>
      <c r="L91" s="621"/>
      <c r="M91" s="621">
        <v>5590.48</v>
      </c>
      <c r="N91" s="621"/>
      <c r="O91" s="621">
        <v>0</v>
      </c>
      <c r="P91" s="625"/>
      <c r="Q91" s="625">
        <v>0</v>
      </c>
      <c r="R91" s="625"/>
      <c r="S91" s="625">
        <v>0</v>
      </c>
      <c r="T91" s="625"/>
      <c r="U91" s="625"/>
      <c r="V91" s="625"/>
      <c r="W91" s="625">
        <v>0</v>
      </c>
      <c r="X91" s="625"/>
      <c r="Y91" s="625">
        <v>0</v>
      </c>
      <c r="Z91" s="625">
        <v>46304.19</v>
      </c>
      <c r="AA91" s="625"/>
      <c r="AB91" s="625"/>
      <c r="AC91" s="629"/>
      <c r="AD91" s="629"/>
      <c r="AE91" s="629"/>
      <c r="AF91" s="629"/>
      <c r="AG91" s="612">
        <f t="shared" si="8"/>
        <v>30474.279999999984</v>
      </c>
      <c r="AH91" s="602"/>
      <c r="AI91" s="488">
        <v>30474.28</v>
      </c>
      <c r="AJ91" s="488"/>
      <c r="AK91" s="476">
        <f t="shared" si="9"/>
        <v>46304.19</v>
      </c>
      <c r="AL91" s="537">
        <f t="shared" si="10"/>
        <v>46304.19</v>
      </c>
      <c r="AM91" s="474">
        <f t="shared" si="11"/>
        <v>30474.28</v>
      </c>
      <c r="AN91" s="327">
        <f t="shared" si="12"/>
        <v>0</v>
      </c>
    </row>
    <row r="92" spans="1:72" s="538" customFormat="1" ht="17.399999999999999" customHeight="1" x14ac:dyDescent="0.45">
      <c r="A92" s="693" t="s">
        <v>482</v>
      </c>
      <c r="B92" s="621">
        <v>26702.409999999974</v>
      </c>
      <c r="C92" s="620"/>
      <c r="D92" s="621">
        <v>26702.41</v>
      </c>
      <c r="E92" s="621">
        <v>25553.94</v>
      </c>
      <c r="F92" s="621">
        <v>25553.94</v>
      </c>
      <c r="G92" s="625">
        <v>25170.36</v>
      </c>
      <c r="H92" s="621">
        <v>25170.36</v>
      </c>
      <c r="I92" s="626">
        <v>25769.439999999999</v>
      </c>
      <c r="J92" s="621">
        <f>25769.44</f>
        <v>25769.439999999999</v>
      </c>
      <c r="K92" s="621">
        <v>24951.9</v>
      </c>
      <c r="L92" s="621">
        <v>24951.9</v>
      </c>
      <c r="M92" s="621">
        <v>25567.93</v>
      </c>
      <c r="N92" s="621">
        <v>25567.93</v>
      </c>
      <c r="O92" s="621">
        <v>24333.85</v>
      </c>
      <c r="P92" s="625">
        <v>24333.85</v>
      </c>
      <c r="Q92" s="625">
        <v>20950</v>
      </c>
      <c r="R92" s="625">
        <f>20950</f>
        <v>20950</v>
      </c>
      <c r="S92" s="625">
        <v>24386.95</v>
      </c>
      <c r="T92" s="625">
        <v>24386.95</v>
      </c>
      <c r="U92" s="625">
        <v>24863.47</v>
      </c>
      <c r="V92" s="625">
        <v>24863.47</v>
      </c>
      <c r="W92" s="625">
        <v>23136.2</v>
      </c>
      <c r="X92" s="625">
        <f>23136.2</f>
        <v>23136.2</v>
      </c>
      <c r="Y92" s="625">
        <v>25575.1</v>
      </c>
      <c r="Z92" s="625">
        <v>20950</v>
      </c>
      <c r="AA92" s="625">
        <v>24106.31</v>
      </c>
      <c r="AB92" s="625"/>
      <c r="AC92" s="629"/>
      <c r="AD92" s="629"/>
      <c r="AE92" s="629"/>
      <c r="AF92" s="629"/>
      <c r="AG92" s="612">
        <f t="shared" si="8"/>
        <v>28731.409999999974</v>
      </c>
      <c r="AH92" s="602"/>
      <c r="AI92" s="488">
        <v>26702.409999999974</v>
      </c>
      <c r="AJ92" s="488"/>
      <c r="AK92" s="476">
        <f t="shared" si="9"/>
        <v>294365.45</v>
      </c>
      <c r="AL92" s="537">
        <f t="shared" si="10"/>
        <v>292336.45</v>
      </c>
      <c r="AM92" s="474">
        <f t="shared" si="11"/>
        <v>28731.409999999974</v>
      </c>
      <c r="AN92" s="327">
        <f t="shared" si="12"/>
        <v>0</v>
      </c>
    </row>
    <row r="93" spans="1:72" s="642" customFormat="1" x14ac:dyDescent="0.45">
      <c r="A93" s="693" t="s">
        <v>483</v>
      </c>
      <c r="B93" s="621">
        <v>12781.82</v>
      </c>
      <c r="C93" s="620"/>
      <c r="D93" s="621"/>
      <c r="E93" s="621"/>
      <c r="F93" s="621"/>
      <c r="G93" s="625">
        <v>0</v>
      </c>
      <c r="H93" s="621"/>
      <c r="I93" s="609"/>
      <c r="J93" s="621"/>
      <c r="K93" s="621"/>
      <c r="L93" s="621"/>
      <c r="M93" s="621">
        <v>18238.66</v>
      </c>
      <c r="N93" s="621"/>
      <c r="O93" s="621">
        <v>72386.539999999994</v>
      </c>
      <c r="P93" s="625"/>
      <c r="Q93" s="625">
        <v>66909.679999999993</v>
      </c>
      <c r="R93" s="625"/>
      <c r="S93" s="625">
        <v>50500.369999999995</v>
      </c>
      <c r="T93" s="625"/>
      <c r="U93" s="625">
        <v>1619.29</v>
      </c>
      <c r="V93" s="625"/>
      <c r="W93" s="625"/>
      <c r="X93" s="625"/>
      <c r="Y93" s="625">
        <v>0</v>
      </c>
      <c r="Z93" s="625"/>
      <c r="AA93" s="625"/>
      <c r="AB93" s="625"/>
      <c r="AC93" s="629"/>
      <c r="AD93" s="629"/>
      <c r="AE93" s="629"/>
      <c r="AF93" s="629"/>
      <c r="AG93" s="612">
        <f t="shared" si="8"/>
        <v>222436.36</v>
      </c>
      <c r="AH93" s="602"/>
      <c r="AI93" s="488">
        <v>12781.82</v>
      </c>
      <c r="AJ93" s="488"/>
      <c r="AK93" s="476">
        <f t="shared" si="9"/>
        <v>209654.54</v>
      </c>
      <c r="AL93" s="537">
        <f t="shared" si="10"/>
        <v>0</v>
      </c>
      <c r="AM93" s="474">
        <f t="shared" si="11"/>
        <v>222436.36000000002</v>
      </c>
      <c r="AN93" s="327">
        <f t="shared" si="12"/>
        <v>0</v>
      </c>
      <c r="AO93" s="538"/>
      <c r="AP93" s="538"/>
      <c r="AQ93" s="538"/>
      <c r="AR93" s="538"/>
      <c r="AS93" s="538"/>
      <c r="AT93" s="538"/>
      <c r="AU93" s="538"/>
      <c r="AV93" s="538"/>
      <c r="AW93" s="538"/>
      <c r="AX93" s="538"/>
      <c r="AY93" s="538"/>
      <c r="AZ93" s="538"/>
      <c r="BA93" s="538"/>
      <c r="BB93" s="538"/>
      <c r="BC93" s="538"/>
      <c r="BD93" s="538"/>
      <c r="BE93" s="538"/>
      <c r="BF93" s="538"/>
      <c r="BG93" s="538"/>
      <c r="BH93" s="538"/>
      <c r="BI93" s="538"/>
      <c r="BJ93" s="538"/>
      <c r="BK93" s="538"/>
      <c r="BL93" s="538"/>
      <c r="BM93" s="538"/>
      <c r="BN93" s="538"/>
      <c r="BO93" s="538"/>
      <c r="BP93" s="538"/>
      <c r="BQ93" s="538"/>
      <c r="BR93" s="538"/>
      <c r="BS93" s="538"/>
      <c r="BT93" s="538"/>
    </row>
    <row r="94" spans="1:72" s="642" customFormat="1" x14ac:dyDescent="0.45">
      <c r="A94" s="692" t="s">
        <v>466</v>
      </c>
      <c r="B94" s="609">
        <v>113088.58999999998</v>
      </c>
      <c r="C94" s="610"/>
      <c r="D94" s="609"/>
      <c r="E94" s="609">
        <v>20820.39</v>
      </c>
      <c r="F94" s="609"/>
      <c r="G94" s="611">
        <v>14312.8</v>
      </c>
      <c r="H94" s="609"/>
      <c r="I94" s="609">
        <v>26774.47</v>
      </c>
      <c r="J94" s="609"/>
      <c r="K94" s="609">
        <v>14987.29</v>
      </c>
      <c r="L94" s="609">
        <f>76894.95</f>
        <v>76894.95</v>
      </c>
      <c r="M94" s="609"/>
      <c r="N94" s="609"/>
      <c r="O94" s="609">
        <v>0</v>
      </c>
      <c r="P94" s="611"/>
      <c r="Q94" s="611">
        <v>30565.03</v>
      </c>
      <c r="R94" s="611"/>
      <c r="S94" s="611">
        <v>38854.31</v>
      </c>
      <c r="T94" s="611"/>
      <c r="U94" s="611">
        <v>33090.090000000004</v>
      </c>
      <c r="V94" s="611"/>
      <c r="W94" s="611">
        <v>24688.420000000002</v>
      </c>
      <c r="X94" s="611">
        <f>102509.44+24688.42</f>
        <v>127197.86</v>
      </c>
      <c r="Y94" s="611">
        <v>0</v>
      </c>
      <c r="Z94" s="611"/>
      <c r="AA94" s="611">
        <v>39613.11</v>
      </c>
      <c r="AB94" s="611"/>
      <c r="AC94" s="613"/>
      <c r="AD94" s="613"/>
      <c r="AE94" s="613"/>
      <c r="AF94" s="613"/>
      <c r="AG94" s="612">
        <f t="shared" si="8"/>
        <v>152701.69</v>
      </c>
      <c r="AH94" s="602"/>
      <c r="AI94" s="474">
        <v>113088.58999999998</v>
      </c>
      <c r="AJ94" s="476"/>
      <c r="AK94" s="476">
        <f t="shared" si="9"/>
        <v>243705.91000000003</v>
      </c>
      <c r="AL94" s="537">
        <f t="shared" si="10"/>
        <v>204092.81</v>
      </c>
      <c r="AM94" s="474">
        <f t="shared" si="11"/>
        <v>152701.69</v>
      </c>
      <c r="AN94" s="327">
        <f t="shared" si="12"/>
        <v>0</v>
      </c>
      <c r="AO94" s="538"/>
      <c r="AP94" s="538"/>
      <c r="AQ94" s="538"/>
      <c r="AR94" s="538"/>
      <c r="AS94" s="538"/>
      <c r="AT94" s="538"/>
      <c r="AU94" s="538"/>
      <c r="AV94" s="538"/>
      <c r="AW94" s="538"/>
      <c r="AX94" s="538"/>
      <c r="AY94" s="538"/>
      <c r="AZ94" s="538"/>
      <c r="BA94" s="538"/>
      <c r="BB94" s="538"/>
      <c r="BC94" s="538"/>
      <c r="BD94" s="538"/>
      <c r="BE94" s="538"/>
      <c r="BF94" s="538"/>
      <c r="BG94" s="538"/>
      <c r="BH94" s="538"/>
      <c r="BI94" s="538"/>
      <c r="BJ94" s="538"/>
      <c r="BK94" s="538"/>
      <c r="BL94" s="538"/>
      <c r="BM94" s="538"/>
      <c r="BN94" s="538"/>
      <c r="BO94" s="538"/>
      <c r="BP94" s="538"/>
      <c r="BQ94" s="538"/>
      <c r="BR94" s="538"/>
      <c r="BS94" s="538"/>
      <c r="BT94" s="538"/>
    </row>
    <row r="95" spans="1:72" s="538" customFormat="1" x14ac:dyDescent="0.45">
      <c r="A95" s="693" t="s">
        <v>484</v>
      </c>
      <c r="B95" s="621">
        <v>0</v>
      </c>
      <c r="C95" s="620"/>
      <c r="D95" s="621"/>
      <c r="E95" s="621">
        <v>0</v>
      </c>
      <c r="F95" s="621"/>
      <c r="G95" s="625">
        <v>43352.58</v>
      </c>
      <c r="H95" s="621"/>
      <c r="I95" s="621">
        <v>16130.17</v>
      </c>
      <c r="J95" s="621">
        <f>43352.58</f>
        <v>43352.58</v>
      </c>
      <c r="K95" s="621">
        <v>14450.86</v>
      </c>
      <c r="L95" s="621">
        <f>16130.17</f>
        <v>16130.17</v>
      </c>
      <c r="M95" s="621">
        <v>15500.91</v>
      </c>
      <c r="N95" s="621"/>
      <c r="O95" s="621">
        <v>14839.66</v>
      </c>
      <c r="P95" s="625"/>
      <c r="Q95" s="625">
        <v>14450.86</v>
      </c>
      <c r="R95" s="688"/>
      <c r="S95" s="625">
        <v>14885.810000000001</v>
      </c>
      <c r="T95" s="625"/>
      <c r="U95" s="625">
        <v>14912.630000000001</v>
      </c>
      <c r="V95" s="625">
        <f>85859.79+1050.05</f>
        <v>86909.84</v>
      </c>
      <c r="W95" s="625">
        <v>14450.86</v>
      </c>
      <c r="X95" s="625"/>
      <c r="Y95" s="625">
        <v>0</v>
      </c>
      <c r="Z95" s="625"/>
      <c r="AA95" s="625"/>
      <c r="AB95" s="625"/>
      <c r="AC95" s="629"/>
      <c r="AD95" s="629"/>
      <c r="AE95" s="629"/>
      <c r="AF95" s="629"/>
      <c r="AG95" s="612">
        <f t="shared" si="8"/>
        <v>16581.75</v>
      </c>
      <c r="AH95" s="602"/>
      <c r="AI95" s="485">
        <v>0</v>
      </c>
      <c r="AJ95" s="488"/>
      <c r="AK95" s="476">
        <f t="shared" si="9"/>
        <v>162974.34000000003</v>
      </c>
      <c r="AL95" s="537">
        <f t="shared" si="10"/>
        <v>146392.59</v>
      </c>
      <c r="AM95" s="474">
        <f t="shared" si="11"/>
        <v>16581.750000000029</v>
      </c>
      <c r="AN95" s="327">
        <f t="shared" si="12"/>
        <v>0</v>
      </c>
    </row>
    <row r="96" spans="1:72" s="538" customFormat="1" x14ac:dyDescent="0.45">
      <c r="A96" s="693" t="s">
        <v>485</v>
      </c>
      <c r="B96" s="621">
        <v>221558.44999999995</v>
      </c>
      <c r="C96" s="620"/>
      <c r="D96" s="621">
        <v>221558.45</v>
      </c>
      <c r="E96" s="621">
        <v>218289.38</v>
      </c>
      <c r="F96" s="621"/>
      <c r="G96" s="625">
        <v>298064.06</v>
      </c>
      <c r="H96" s="621">
        <v>218289.38</v>
      </c>
      <c r="I96" s="621">
        <v>264698.38</v>
      </c>
      <c r="J96" s="621">
        <v>562762.43999999994</v>
      </c>
      <c r="K96" s="621">
        <v>245753.84999999998</v>
      </c>
      <c r="L96" s="621">
        <v>245753.85</v>
      </c>
      <c r="M96" s="621">
        <v>241165.78999999998</v>
      </c>
      <c r="N96" s="621"/>
      <c r="O96" s="621">
        <v>251407.06</v>
      </c>
      <c r="P96" s="625">
        <v>241165.79</v>
      </c>
      <c r="Q96" s="625">
        <v>227077.54</v>
      </c>
      <c r="R96" s="625">
        <f>251407.06</f>
        <v>251407.06</v>
      </c>
      <c r="S96" s="625">
        <v>240353.16999999998</v>
      </c>
      <c r="T96" s="625">
        <v>227077.54</v>
      </c>
      <c r="U96" s="625">
        <v>249188.54</v>
      </c>
      <c r="V96" s="625">
        <f>240353.17</f>
        <v>240353.17</v>
      </c>
      <c r="W96" s="625">
        <v>226994.41</v>
      </c>
      <c r="X96" s="625">
        <f>226994.41</f>
        <v>226994.41</v>
      </c>
      <c r="Y96" s="614">
        <v>236842.15</v>
      </c>
      <c r="Z96" s="625">
        <f>249188.54</f>
        <v>249188.54</v>
      </c>
      <c r="AA96" s="625">
        <v>241285.22999999998</v>
      </c>
      <c r="AB96" s="625"/>
      <c r="AC96" s="629"/>
      <c r="AD96" s="629"/>
      <c r="AE96" s="629"/>
      <c r="AF96" s="629"/>
      <c r="AG96" s="612">
        <f t="shared" si="8"/>
        <v>478127.37999999989</v>
      </c>
      <c r="AH96" s="602"/>
      <c r="AI96" s="485">
        <v>221558.44999999995</v>
      </c>
      <c r="AJ96" s="488"/>
      <c r="AK96" s="476">
        <f t="shared" si="9"/>
        <v>2941119.56</v>
      </c>
      <c r="AL96" s="537">
        <f t="shared" si="10"/>
        <v>2684550.6300000004</v>
      </c>
      <c r="AM96" s="474">
        <f t="shared" si="11"/>
        <v>478127.37999999942</v>
      </c>
      <c r="AN96" s="327">
        <f t="shared" si="12"/>
        <v>0</v>
      </c>
    </row>
    <row r="97" spans="1:72" s="538" customFormat="1" x14ac:dyDescent="0.45">
      <c r="A97" s="693" t="s">
        <v>486</v>
      </c>
      <c r="B97" s="621">
        <v>251446.3</v>
      </c>
      <c r="C97" s="620"/>
      <c r="D97" s="621"/>
      <c r="E97" s="621">
        <v>97227.27</v>
      </c>
      <c r="F97" s="621">
        <v>138199.84</v>
      </c>
      <c r="G97" s="625">
        <v>35482.779999999992</v>
      </c>
      <c r="H97" s="621">
        <f>113246.46</f>
        <v>113246.46</v>
      </c>
      <c r="I97" s="621">
        <v>11072.73</v>
      </c>
      <c r="J97" s="621">
        <f>132710.05</f>
        <v>132710.04999999999</v>
      </c>
      <c r="K97" s="621">
        <v>0</v>
      </c>
      <c r="L97" s="621">
        <v>11072.73</v>
      </c>
      <c r="M97" s="621"/>
      <c r="N97" s="621"/>
      <c r="O97" s="621"/>
      <c r="P97" s="625"/>
      <c r="Q97" s="625"/>
      <c r="R97" s="625"/>
      <c r="S97" s="625">
        <v>0</v>
      </c>
      <c r="T97" s="625"/>
      <c r="U97" s="625"/>
      <c r="V97" s="625"/>
      <c r="W97" s="625"/>
      <c r="X97" s="625"/>
      <c r="Y97" s="625">
        <v>0</v>
      </c>
      <c r="Z97" s="625"/>
      <c r="AA97" s="625"/>
      <c r="AB97" s="625"/>
      <c r="AC97" s="629"/>
      <c r="AD97" s="629"/>
      <c r="AE97" s="629"/>
      <c r="AF97" s="629"/>
      <c r="AG97" s="612">
        <f t="shared" si="8"/>
        <v>1.0913936421275139E-11</v>
      </c>
      <c r="AH97" s="602"/>
      <c r="AI97" s="485">
        <v>251446.3</v>
      </c>
      <c r="AJ97" s="488"/>
      <c r="AK97" s="476">
        <f t="shared" si="9"/>
        <v>143782.78</v>
      </c>
      <c r="AL97" s="537">
        <f t="shared" si="10"/>
        <v>395229.07999999996</v>
      </c>
      <c r="AM97" s="474">
        <f t="shared" si="11"/>
        <v>0</v>
      </c>
      <c r="AN97" s="327">
        <f t="shared" si="12"/>
        <v>0</v>
      </c>
    </row>
    <row r="98" spans="1:72" s="538" customFormat="1" x14ac:dyDescent="0.45">
      <c r="A98" s="693" t="s">
        <v>502</v>
      </c>
      <c r="B98" s="621"/>
      <c r="C98" s="620"/>
      <c r="D98" s="621"/>
      <c r="E98" s="621"/>
      <c r="F98" s="621"/>
      <c r="G98" s="625"/>
      <c r="H98" s="621"/>
      <c r="I98" s="621">
        <v>39077.07</v>
      </c>
      <c r="J98" s="621"/>
      <c r="K98" s="621">
        <v>10744.289999999999</v>
      </c>
      <c r="L98" s="621"/>
      <c r="M98" s="621">
        <v>816.7</v>
      </c>
      <c r="N98" s="621"/>
      <c r="O98" s="621">
        <v>-41048.22</v>
      </c>
      <c r="P98" s="625"/>
      <c r="Q98" s="625"/>
      <c r="R98" s="625"/>
      <c r="S98" s="625">
        <v>0</v>
      </c>
      <c r="T98" s="625"/>
      <c r="U98" s="625">
        <v>20626.349999999999</v>
      </c>
      <c r="V98" s="625"/>
      <c r="W98" s="625"/>
      <c r="X98" s="625"/>
      <c r="Y98" s="625">
        <v>-21443.05</v>
      </c>
      <c r="Z98" s="625"/>
      <c r="AA98" s="625"/>
      <c r="AB98" s="625"/>
      <c r="AC98" s="629"/>
      <c r="AD98" s="629"/>
      <c r="AE98" s="629"/>
      <c r="AF98" s="629"/>
      <c r="AG98" s="612">
        <f t="shared" si="8"/>
        <v>8773.1399999999958</v>
      </c>
      <c r="AH98" s="602"/>
      <c r="AI98" s="485"/>
      <c r="AJ98" s="488"/>
      <c r="AK98" s="476">
        <f t="shared" si="9"/>
        <v>8773.1399999999958</v>
      </c>
      <c r="AL98" s="537">
        <f t="shared" si="10"/>
        <v>0</v>
      </c>
      <c r="AM98" s="474">
        <f t="shared" si="11"/>
        <v>8773.1399999999958</v>
      </c>
      <c r="AN98" s="327">
        <f t="shared" si="12"/>
        <v>0</v>
      </c>
    </row>
    <row r="99" spans="1:72" s="642" customFormat="1" x14ac:dyDescent="0.45">
      <c r="A99" s="693" t="s">
        <v>503</v>
      </c>
      <c r="B99" s="621"/>
      <c r="C99" s="620"/>
      <c r="D99" s="621"/>
      <c r="E99" s="621"/>
      <c r="F99" s="621"/>
      <c r="G99" s="625"/>
      <c r="H99" s="621"/>
      <c r="I99" s="621"/>
      <c r="J99" s="621"/>
      <c r="K99" s="621">
        <v>12727.7</v>
      </c>
      <c r="L99" s="621"/>
      <c r="M99" s="621">
        <v>14342.119999999999</v>
      </c>
      <c r="N99" s="621"/>
      <c r="O99" s="621">
        <v>44879.94</v>
      </c>
      <c r="P99" s="625"/>
      <c r="Q99" s="625">
        <v>48182.87</v>
      </c>
      <c r="R99" s="625"/>
      <c r="S99" s="625">
        <v>46757.719999999994</v>
      </c>
      <c r="T99" s="625"/>
      <c r="U99" s="625">
        <v>53365.850000000006</v>
      </c>
      <c r="V99" s="625">
        <v>220256.2</v>
      </c>
      <c r="W99" s="625">
        <v>46744.15</v>
      </c>
      <c r="X99" s="625">
        <v>46744.15</v>
      </c>
      <c r="Y99" s="625">
        <v>49299.28</v>
      </c>
      <c r="Z99" s="625">
        <f>49299.28</f>
        <v>49299.28</v>
      </c>
      <c r="AA99" s="625">
        <v>51865.960000000006</v>
      </c>
      <c r="AB99" s="625"/>
      <c r="AC99" s="629"/>
      <c r="AD99" s="629"/>
      <c r="AE99" s="629"/>
      <c r="AF99" s="629"/>
      <c r="AG99" s="612">
        <f t="shared" si="8"/>
        <v>51865.960000000006</v>
      </c>
      <c r="AH99" s="602"/>
      <c r="AI99" s="485"/>
      <c r="AJ99" s="488"/>
      <c r="AK99" s="476">
        <f t="shared" si="9"/>
        <v>368165.59</v>
      </c>
      <c r="AL99" s="537">
        <f t="shared" si="10"/>
        <v>316299.63</v>
      </c>
      <c r="AM99" s="474">
        <f t="shared" si="11"/>
        <v>51865.960000000021</v>
      </c>
      <c r="AN99" s="327">
        <f t="shared" si="12"/>
        <v>0</v>
      </c>
      <c r="AO99" s="538"/>
      <c r="AP99" s="538"/>
      <c r="AQ99" s="538"/>
      <c r="AR99" s="538"/>
      <c r="AS99" s="538"/>
      <c r="AT99" s="538"/>
      <c r="AU99" s="538"/>
      <c r="AV99" s="538"/>
      <c r="AW99" s="538"/>
      <c r="AX99" s="538"/>
      <c r="AY99" s="538"/>
      <c r="AZ99" s="538"/>
      <c r="BA99" s="538"/>
      <c r="BB99" s="538"/>
      <c r="BC99" s="538"/>
      <c r="BD99" s="538"/>
      <c r="BE99" s="538"/>
      <c r="BF99" s="538"/>
      <c r="BG99" s="538"/>
      <c r="BH99" s="538"/>
      <c r="BI99" s="538"/>
      <c r="BJ99" s="538"/>
      <c r="BK99" s="538"/>
      <c r="BL99" s="538"/>
      <c r="BM99" s="538"/>
      <c r="BN99" s="538"/>
      <c r="BO99" s="538"/>
      <c r="BP99" s="538"/>
      <c r="BQ99" s="538"/>
      <c r="BR99" s="538"/>
      <c r="BS99" s="538"/>
      <c r="BT99" s="538"/>
    </row>
    <row r="100" spans="1:72" s="538" customFormat="1" x14ac:dyDescent="0.45">
      <c r="A100" s="693" t="s">
        <v>504</v>
      </c>
      <c r="B100" s="621"/>
      <c r="C100" s="620"/>
      <c r="D100" s="621"/>
      <c r="E100" s="621"/>
      <c r="F100" s="621"/>
      <c r="G100" s="625"/>
      <c r="H100" s="621"/>
      <c r="I100" s="621">
        <v>29091.95</v>
      </c>
      <c r="J100" s="621"/>
      <c r="K100" s="621"/>
      <c r="L100" s="621"/>
      <c r="M100" s="621"/>
      <c r="N100" s="621"/>
      <c r="O100" s="621">
        <v>0</v>
      </c>
      <c r="P100" s="625"/>
      <c r="Q100" s="625"/>
      <c r="R100" s="625"/>
      <c r="S100" s="625">
        <v>4194.97</v>
      </c>
      <c r="T100" s="625"/>
      <c r="U100" s="625"/>
      <c r="V100" s="625"/>
      <c r="W100" s="625"/>
      <c r="X100" s="625"/>
      <c r="Y100" s="625">
        <v>2508.96</v>
      </c>
      <c r="Z100" s="625"/>
      <c r="AA100" s="625"/>
      <c r="AB100" s="625"/>
      <c r="AC100" s="629"/>
      <c r="AD100" s="629"/>
      <c r="AE100" s="629"/>
      <c r="AF100" s="629"/>
      <c r="AG100" s="612">
        <f t="shared" si="8"/>
        <v>35795.879999999997</v>
      </c>
      <c r="AH100" s="602"/>
      <c r="AI100" s="485"/>
      <c r="AJ100" s="488"/>
      <c r="AK100" s="476">
        <f t="shared" si="9"/>
        <v>35795.879999999997</v>
      </c>
      <c r="AL100" s="537">
        <f t="shared" si="10"/>
        <v>0</v>
      </c>
      <c r="AM100" s="474">
        <f t="shared" si="11"/>
        <v>35795.879999999997</v>
      </c>
      <c r="AN100" s="327">
        <f t="shared" si="12"/>
        <v>0</v>
      </c>
    </row>
    <row r="101" spans="1:72" s="538" customFormat="1" x14ac:dyDescent="0.45">
      <c r="A101" s="693" t="s">
        <v>505</v>
      </c>
      <c r="B101" s="621"/>
      <c r="C101" s="620"/>
      <c r="D101" s="621"/>
      <c r="E101" s="621"/>
      <c r="F101" s="621"/>
      <c r="G101" s="625"/>
      <c r="H101" s="621"/>
      <c r="I101" s="621"/>
      <c r="J101" s="621"/>
      <c r="K101" s="621">
        <v>45291.32</v>
      </c>
      <c r="L101" s="621"/>
      <c r="M101" s="621"/>
      <c r="N101" s="621"/>
      <c r="O101" s="621">
        <v>0</v>
      </c>
      <c r="P101" s="625"/>
      <c r="Q101" s="625"/>
      <c r="R101" s="625"/>
      <c r="S101" s="625">
        <v>747200.86</v>
      </c>
      <c r="T101" s="625"/>
      <c r="U101" s="625">
        <v>171223.06</v>
      </c>
      <c r="V101" s="625"/>
      <c r="W101" s="625">
        <v>169249.22</v>
      </c>
      <c r="X101" s="625">
        <f>747200.86</f>
        <v>747200.86</v>
      </c>
      <c r="Y101" s="625">
        <v>567306.57999999996</v>
      </c>
      <c r="Z101" s="625"/>
      <c r="AA101" s="625">
        <v>172174.47</v>
      </c>
      <c r="AB101" s="625"/>
      <c r="AC101" s="629"/>
      <c r="AD101" s="629"/>
      <c r="AE101" s="629"/>
      <c r="AF101" s="629"/>
      <c r="AG101" s="612">
        <f t="shared" si="8"/>
        <v>1125244.6499999999</v>
      </c>
      <c r="AH101" s="602"/>
      <c r="AI101" s="485"/>
      <c r="AJ101" s="488"/>
      <c r="AK101" s="476">
        <f t="shared" si="9"/>
        <v>1872445.51</v>
      </c>
      <c r="AL101" s="537">
        <f t="shared" si="10"/>
        <v>747200.86</v>
      </c>
      <c r="AM101" s="474">
        <f t="shared" si="11"/>
        <v>1125244.6499999999</v>
      </c>
      <c r="AN101" s="327">
        <f t="shared" si="12"/>
        <v>0</v>
      </c>
    </row>
    <row r="102" spans="1:72" s="538" customFormat="1" x14ac:dyDescent="0.45">
      <c r="A102" s="693" t="s">
        <v>506</v>
      </c>
      <c r="B102" s="621"/>
      <c r="C102" s="620"/>
      <c r="D102" s="621"/>
      <c r="E102" s="621"/>
      <c r="F102" s="621"/>
      <c r="G102" s="625"/>
      <c r="H102" s="621"/>
      <c r="I102" s="621"/>
      <c r="J102" s="621"/>
      <c r="K102" s="621"/>
      <c r="L102" s="621"/>
      <c r="M102" s="621"/>
      <c r="N102" s="621"/>
      <c r="O102" s="621">
        <v>5602.54</v>
      </c>
      <c r="P102" s="625"/>
      <c r="Q102" s="625">
        <v>38961.82</v>
      </c>
      <c r="R102" s="625"/>
      <c r="S102" s="625">
        <v>651.95000000000005</v>
      </c>
      <c r="T102" s="625"/>
      <c r="U102" s="625"/>
      <c r="V102" s="625"/>
      <c r="W102" s="625"/>
      <c r="X102" s="625"/>
      <c r="Y102" s="625"/>
      <c r="Z102" s="625"/>
      <c r="AA102" s="625"/>
      <c r="AB102" s="625"/>
      <c r="AC102" s="629"/>
      <c r="AD102" s="629"/>
      <c r="AE102" s="629"/>
      <c r="AF102" s="629"/>
      <c r="AG102" s="612">
        <f t="shared" ref="AG102:AG109" si="13">B102-C102-D102+E102-F102+G102-H102+I102-J102+K102-L102+M102-N102+O102-P102+Q102-R102+S102-T102+U102-V102+W102-X102+Y102-Z102+AA102</f>
        <v>45216.31</v>
      </c>
      <c r="AH102" s="602"/>
      <c r="AI102" s="485"/>
      <c r="AJ102" s="488"/>
      <c r="AK102" s="476">
        <f t="shared" ref="AK102:AK109" si="14">E102+G102+I102+K102+M102+O102+Q102+S102+U102+W102+Y102+AA102</f>
        <v>45216.31</v>
      </c>
      <c r="AL102" s="537">
        <f t="shared" ref="AL102:AL109" si="15">D102+F102+H102+J102+L102+N102+P102+R102+T102+V102+X102+Z102</f>
        <v>0</v>
      </c>
      <c r="AM102" s="474">
        <f t="shared" si="11"/>
        <v>45216.31</v>
      </c>
      <c r="AN102" s="327">
        <f t="shared" si="12"/>
        <v>0</v>
      </c>
    </row>
    <row r="103" spans="1:72" s="538" customFormat="1" x14ac:dyDescent="0.45">
      <c r="A103" s="693" t="s">
        <v>507</v>
      </c>
      <c r="B103" s="621"/>
      <c r="C103" s="620"/>
      <c r="D103" s="621"/>
      <c r="E103" s="621"/>
      <c r="F103" s="621"/>
      <c r="G103" s="625"/>
      <c r="H103" s="621"/>
      <c r="I103" s="621"/>
      <c r="J103" s="621"/>
      <c r="K103" s="621"/>
      <c r="L103" s="621"/>
      <c r="M103" s="621"/>
      <c r="N103" s="621"/>
      <c r="O103" s="621">
        <v>54215.45</v>
      </c>
      <c r="P103" s="625"/>
      <c r="Q103" s="625">
        <v>66929.31</v>
      </c>
      <c r="R103" s="625"/>
      <c r="S103" s="625">
        <v>77754.930000000008</v>
      </c>
      <c r="T103" s="625"/>
      <c r="U103" s="625">
        <v>125210.11</v>
      </c>
      <c r="V103" s="625"/>
      <c r="W103" s="625">
        <v>120569.65</v>
      </c>
      <c r="X103" s="625"/>
      <c r="Y103" s="625">
        <v>71926.09</v>
      </c>
      <c r="Z103" s="625"/>
      <c r="AA103" s="625">
        <v>205780.94</v>
      </c>
      <c r="AB103" s="625"/>
      <c r="AC103" s="629"/>
      <c r="AD103" s="629"/>
      <c r="AE103" s="629"/>
      <c r="AF103" s="629"/>
      <c r="AG103" s="612">
        <f t="shared" si="13"/>
        <v>722386.48</v>
      </c>
      <c r="AH103" s="602"/>
      <c r="AI103" s="485"/>
      <c r="AJ103" s="488"/>
      <c r="AK103" s="476">
        <f t="shared" si="14"/>
        <v>722386.48</v>
      </c>
      <c r="AL103" s="537">
        <f t="shared" si="15"/>
        <v>0</v>
      </c>
      <c r="AM103" s="474">
        <f t="shared" si="11"/>
        <v>722386.48</v>
      </c>
      <c r="AN103" s="327">
        <f t="shared" si="12"/>
        <v>0</v>
      </c>
    </row>
    <row r="104" spans="1:72" s="538" customFormat="1" x14ac:dyDescent="0.45">
      <c r="A104" s="693" t="s">
        <v>508</v>
      </c>
      <c r="B104" s="621"/>
      <c r="C104" s="620"/>
      <c r="D104" s="621"/>
      <c r="E104" s="621"/>
      <c r="F104" s="621"/>
      <c r="G104" s="625"/>
      <c r="H104" s="621"/>
      <c r="I104" s="621"/>
      <c r="J104" s="621"/>
      <c r="K104" s="621"/>
      <c r="L104" s="621"/>
      <c r="M104" s="621"/>
      <c r="N104" s="621"/>
      <c r="O104" s="621"/>
      <c r="P104" s="625"/>
      <c r="Q104" s="625">
        <v>731.7</v>
      </c>
      <c r="R104" s="625"/>
      <c r="S104" s="625"/>
      <c r="T104" s="625"/>
      <c r="U104" s="625"/>
      <c r="V104" s="625"/>
      <c r="W104" s="625"/>
      <c r="X104" s="625"/>
      <c r="Y104" s="625"/>
      <c r="Z104" s="625"/>
      <c r="AA104" s="625"/>
      <c r="AB104" s="625"/>
      <c r="AC104" s="629"/>
      <c r="AD104" s="629"/>
      <c r="AE104" s="629"/>
      <c r="AF104" s="629"/>
      <c r="AG104" s="612">
        <f t="shared" si="13"/>
        <v>731.7</v>
      </c>
      <c r="AH104" s="602"/>
      <c r="AI104" s="485"/>
      <c r="AJ104" s="488"/>
      <c r="AK104" s="476">
        <f t="shared" si="14"/>
        <v>731.7</v>
      </c>
      <c r="AL104" s="537">
        <f t="shared" si="15"/>
        <v>0</v>
      </c>
      <c r="AM104" s="474">
        <f t="shared" si="11"/>
        <v>731.7</v>
      </c>
      <c r="AN104" s="327">
        <f t="shared" si="12"/>
        <v>0</v>
      </c>
    </row>
    <row r="105" spans="1:72" s="538" customFormat="1" x14ac:dyDescent="0.45">
      <c r="A105" s="693" t="s">
        <v>509</v>
      </c>
      <c r="B105" s="621"/>
      <c r="C105" s="620"/>
      <c r="D105" s="621"/>
      <c r="E105" s="621"/>
      <c r="F105" s="621"/>
      <c r="G105" s="625"/>
      <c r="H105" s="621"/>
      <c r="I105" s="621"/>
      <c r="J105" s="621"/>
      <c r="K105" s="621"/>
      <c r="L105" s="621"/>
      <c r="M105" s="621"/>
      <c r="N105" s="621"/>
      <c r="O105" s="621"/>
      <c r="P105" s="625"/>
      <c r="Q105" s="625">
        <v>18262.93</v>
      </c>
      <c r="R105" s="625">
        <v>18262.93</v>
      </c>
      <c r="S105" s="625">
        <v>67301.86</v>
      </c>
      <c r="T105" s="625"/>
      <c r="U105" s="625">
        <v>48044.210000000006</v>
      </c>
      <c r="V105" s="625"/>
      <c r="W105" s="625">
        <v>50520.74</v>
      </c>
      <c r="X105" s="625"/>
      <c r="Y105" s="625">
        <v>45093.119999999995</v>
      </c>
      <c r="Z105" s="625">
        <f>48044.21</f>
        <v>48044.21</v>
      </c>
      <c r="AA105" s="625">
        <v>47083.25</v>
      </c>
      <c r="AB105" s="625"/>
      <c r="AC105" s="629"/>
      <c r="AD105" s="629"/>
      <c r="AE105" s="629"/>
      <c r="AF105" s="629"/>
      <c r="AG105" s="612">
        <f t="shared" si="13"/>
        <v>209998.97</v>
      </c>
      <c r="AH105" s="602"/>
      <c r="AI105" s="485"/>
      <c r="AJ105" s="488"/>
      <c r="AK105" s="476">
        <f t="shared" si="14"/>
        <v>276306.11</v>
      </c>
      <c r="AL105" s="537">
        <f t="shared" si="15"/>
        <v>66307.14</v>
      </c>
      <c r="AM105" s="474">
        <f t="shared" si="11"/>
        <v>209998.96999999997</v>
      </c>
      <c r="AN105" s="327">
        <f t="shared" si="12"/>
        <v>0</v>
      </c>
    </row>
    <row r="106" spans="1:72" s="538" customFormat="1" x14ac:dyDescent="0.45">
      <c r="A106" s="693" t="s">
        <v>510</v>
      </c>
      <c r="B106" s="621"/>
      <c r="C106" s="620"/>
      <c r="D106" s="621"/>
      <c r="E106" s="621"/>
      <c r="F106" s="621"/>
      <c r="G106" s="625"/>
      <c r="H106" s="621"/>
      <c r="I106" s="621"/>
      <c r="J106" s="621"/>
      <c r="K106" s="621"/>
      <c r="L106" s="621"/>
      <c r="M106" s="621"/>
      <c r="N106" s="621"/>
      <c r="O106" s="621"/>
      <c r="P106" s="625"/>
      <c r="Q106" s="625"/>
      <c r="R106" s="625"/>
      <c r="S106" s="625"/>
      <c r="T106" s="625"/>
      <c r="U106" s="625">
        <v>17982.560000000001</v>
      </c>
      <c r="V106" s="625"/>
      <c r="W106" s="625">
        <v>39250.340000000004</v>
      </c>
      <c r="X106" s="625">
        <v>57232.9</v>
      </c>
      <c r="Y106" s="625">
        <v>59407.32</v>
      </c>
      <c r="Z106" s="625">
        <v>59407.32</v>
      </c>
      <c r="AA106" s="625">
        <v>112372.25</v>
      </c>
      <c r="AB106" s="625"/>
      <c r="AC106" s="629"/>
      <c r="AD106" s="629"/>
      <c r="AE106" s="629"/>
      <c r="AF106" s="629"/>
      <c r="AG106" s="612">
        <f t="shared" si="13"/>
        <v>112372.25</v>
      </c>
      <c r="AH106" s="602"/>
      <c r="AI106" s="485"/>
      <c r="AJ106" s="488"/>
      <c r="AK106" s="476">
        <f t="shared" si="14"/>
        <v>229012.47</v>
      </c>
      <c r="AL106" s="537">
        <f t="shared" si="15"/>
        <v>116640.22</v>
      </c>
      <c r="AM106" s="474">
        <f t="shared" si="11"/>
        <v>112372.25</v>
      </c>
      <c r="AN106" s="327">
        <f t="shared" si="12"/>
        <v>0</v>
      </c>
    </row>
    <row r="107" spans="1:72" s="538" customFormat="1" x14ac:dyDescent="0.45">
      <c r="A107" s="694" t="s">
        <v>511</v>
      </c>
      <c r="B107" s="485"/>
      <c r="C107" s="484"/>
      <c r="D107" s="485"/>
      <c r="E107" s="485"/>
      <c r="F107" s="485"/>
      <c r="G107" s="490"/>
      <c r="H107" s="485"/>
      <c r="I107" s="485"/>
      <c r="J107" s="485"/>
      <c r="K107" s="485"/>
      <c r="L107" s="485"/>
      <c r="M107" s="485">
        <v>9726.6899999999987</v>
      </c>
      <c r="N107" s="485">
        <v>9726.69</v>
      </c>
      <c r="O107" s="485">
        <v>65024.03</v>
      </c>
      <c r="P107" s="490">
        <v>65024.03</v>
      </c>
      <c r="Q107" s="490">
        <v>4634.01</v>
      </c>
      <c r="R107" s="490">
        <f>4634.01</f>
        <v>4634.01</v>
      </c>
      <c r="S107" s="490"/>
      <c r="T107" s="490"/>
      <c r="U107" s="490">
        <v>14566.59</v>
      </c>
      <c r="V107" s="490"/>
      <c r="W107" s="490">
        <v>20710.95</v>
      </c>
      <c r="X107" s="490"/>
      <c r="Y107" s="490">
        <v>92881.45</v>
      </c>
      <c r="Z107" s="490"/>
      <c r="AA107" s="490"/>
      <c r="AB107" s="490"/>
      <c r="AC107" s="550"/>
      <c r="AD107" s="550"/>
      <c r="AE107" s="550"/>
      <c r="AF107" s="550"/>
      <c r="AG107" s="476">
        <f t="shared" si="13"/>
        <v>128158.98999999999</v>
      </c>
      <c r="AH107" s="602"/>
      <c r="AI107" s="485"/>
      <c r="AJ107" s="488"/>
      <c r="AK107" s="476">
        <f t="shared" si="14"/>
        <v>207543.71999999997</v>
      </c>
      <c r="AL107" s="537">
        <f t="shared" si="15"/>
        <v>79384.73</v>
      </c>
      <c r="AM107" s="474">
        <f t="shared" si="11"/>
        <v>128158.98999999998</v>
      </c>
      <c r="AN107" s="327">
        <f t="shared" si="12"/>
        <v>0</v>
      </c>
    </row>
    <row r="108" spans="1:72" s="538" customFormat="1" x14ac:dyDescent="0.45">
      <c r="A108" s="694" t="s">
        <v>512</v>
      </c>
      <c r="B108" s="485"/>
      <c r="C108" s="484"/>
      <c r="D108" s="485"/>
      <c r="E108" s="485"/>
      <c r="F108" s="485"/>
      <c r="G108" s="490"/>
      <c r="H108" s="485"/>
      <c r="I108" s="485"/>
      <c r="J108" s="485"/>
      <c r="K108" s="485"/>
      <c r="L108" s="485"/>
      <c r="M108" s="485"/>
      <c r="N108" s="485"/>
      <c r="O108" s="485"/>
      <c r="P108" s="490"/>
      <c r="Q108" s="490"/>
      <c r="R108" s="490"/>
      <c r="S108" s="490"/>
      <c r="T108" s="490"/>
      <c r="U108" s="490"/>
      <c r="V108" s="490"/>
      <c r="W108" s="490"/>
      <c r="X108" s="490"/>
      <c r="Y108" s="490"/>
      <c r="Z108" s="490"/>
      <c r="AA108" s="490">
        <v>16415.170000000002</v>
      </c>
      <c r="AB108" s="490"/>
      <c r="AC108" s="550"/>
      <c r="AD108" s="550"/>
      <c r="AE108" s="550"/>
      <c r="AF108" s="550"/>
      <c r="AG108" s="476">
        <f t="shared" si="13"/>
        <v>16415.170000000002</v>
      </c>
      <c r="AH108" s="602"/>
      <c r="AI108" s="485"/>
      <c r="AJ108" s="488"/>
      <c r="AK108" s="476">
        <f t="shared" si="14"/>
        <v>16415.170000000002</v>
      </c>
      <c r="AL108" s="537">
        <f t="shared" si="15"/>
        <v>0</v>
      </c>
      <c r="AM108" s="474">
        <f t="shared" si="11"/>
        <v>16415.170000000002</v>
      </c>
      <c r="AN108" s="327">
        <f t="shared" si="12"/>
        <v>0</v>
      </c>
    </row>
    <row r="109" spans="1:72" s="642" customFormat="1" ht="19" thickBot="1" x14ac:dyDescent="0.5">
      <c r="A109" s="694" t="s">
        <v>487</v>
      </c>
      <c r="B109" s="485">
        <v>17873.900000000001</v>
      </c>
      <c r="C109" s="484"/>
      <c r="D109" s="485"/>
      <c r="E109" s="485">
        <v>0</v>
      </c>
      <c r="F109" s="485"/>
      <c r="G109" s="490"/>
      <c r="H109" s="485"/>
      <c r="I109" s="485"/>
      <c r="J109" s="485"/>
      <c r="K109" s="485"/>
      <c r="L109" s="485"/>
      <c r="M109" s="485"/>
      <c r="N109" s="485"/>
      <c r="O109" s="485">
        <v>0</v>
      </c>
      <c r="P109" s="490"/>
      <c r="Q109" s="490"/>
      <c r="R109" s="490"/>
      <c r="S109" s="590"/>
      <c r="T109" s="490"/>
      <c r="U109" s="490"/>
      <c r="V109" s="490"/>
      <c r="W109" s="490"/>
      <c r="X109" s="490"/>
      <c r="Y109" s="490"/>
      <c r="Z109" s="490"/>
      <c r="AA109" s="490"/>
      <c r="AB109" s="490"/>
      <c r="AC109" s="550"/>
      <c r="AD109" s="550"/>
      <c r="AE109" s="550"/>
      <c r="AF109" s="550"/>
      <c r="AG109" s="476">
        <f t="shared" si="13"/>
        <v>17873.900000000001</v>
      </c>
      <c r="AH109" s="602"/>
      <c r="AI109" s="485">
        <v>17873.900000000001</v>
      </c>
      <c r="AJ109" s="488"/>
      <c r="AK109" s="476">
        <f t="shared" si="14"/>
        <v>0</v>
      </c>
      <c r="AL109" s="537">
        <f t="shared" si="15"/>
        <v>0</v>
      </c>
      <c r="AM109" s="485">
        <f t="shared" si="11"/>
        <v>17873.900000000001</v>
      </c>
      <c r="AN109" s="327">
        <f t="shared" si="12"/>
        <v>0</v>
      </c>
      <c r="AO109" s="538"/>
      <c r="AP109" s="538"/>
      <c r="AQ109" s="538"/>
      <c r="AR109" s="538"/>
      <c r="AS109" s="538"/>
      <c r="AT109" s="538"/>
      <c r="AU109" s="538"/>
      <c r="AV109" s="538"/>
      <c r="AW109" s="538"/>
      <c r="AX109" s="538"/>
      <c r="AY109" s="538"/>
      <c r="AZ109" s="538"/>
      <c r="BA109" s="538"/>
      <c r="BB109" s="538"/>
      <c r="BC109" s="538"/>
      <c r="BD109" s="538"/>
      <c r="BE109" s="538"/>
      <c r="BF109" s="538"/>
      <c r="BG109" s="538"/>
      <c r="BH109" s="538"/>
      <c r="BI109" s="538"/>
      <c r="BJ109" s="538"/>
      <c r="BK109" s="538"/>
      <c r="BL109" s="538"/>
      <c r="BM109" s="538"/>
      <c r="BN109" s="538"/>
      <c r="BO109" s="538"/>
      <c r="BP109" s="538"/>
      <c r="BQ109" s="538"/>
      <c r="BR109" s="538"/>
      <c r="BS109" s="538"/>
      <c r="BT109" s="538"/>
    </row>
    <row r="110" spans="1:72" ht="19" thickBot="1" x14ac:dyDescent="0.5">
      <c r="A110" s="695" t="s">
        <v>6</v>
      </c>
      <c r="B110" s="492">
        <v>214937115.11190012</v>
      </c>
      <c r="C110" s="493">
        <f>SUM(C6:C109)</f>
        <v>25008365.099999994</v>
      </c>
      <c r="D110" s="494">
        <f>SUM(D6:D109)</f>
        <v>53689914.089999996</v>
      </c>
      <c r="E110" s="494">
        <v>73310777.230000004</v>
      </c>
      <c r="F110" s="495">
        <f t="shared" ref="F110:Q110" si="16">SUM(F6:F109)</f>
        <v>30079609.620000001</v>
      </c>
      <c r="G110" s="498">
        <f t="shared" si="16"/>
        <v>74634218.689999983</v>
      </c>
      <c r="H110" s="496">
        <f t="shared" si="16"/>
        <v>57824560.369999997</v>
      </c>
      <c r="I110" s="495">
        <f t="shared" si="16"/>
        <v>62448298.740000002</v>
      </c>
      <c r="J110" s="492">
        <f t="shared" si="16"/>
        <v>96090431.140000001</v>
      </c>
      <c r="K110" s="492">
        <f t="shared" si="16"/>
        <v>74101967.180000007</v>
      </c>
      <c r="L110" s="496">
        <f t="shared" si="16"/>
        <v>117902658.79599997</v>
      </c>
      <c r="M110" s="494">
        <f t="shared" si="16"/>
        <v>75928831.429999992</v>
      </c>
      <c r="N110" s="494">
        <f t="shared" si="16"/>
        <v>64583728.43</v>
      </c>
      <c r="O110" s="497">
        <f t="shared" si="16"/>
        <v>74761673.820000023</v>
      </c>
      <c r="P110" s="498">
        <f t="shared" si="16"/>
        <v>93611770.070000052</v>
      </c>
      <c r="Q110" s="499">
        <f t="shared" si="16"/>
        <v>69676629.150000051</v>
      </c>
      <c r="R110" s="498">
        <f t="shared" ref="R110:W110" si="17">SUM(R6:R109)</f>
        <v>77689747.060000017</v>
      </c>
      <c r="S110" s="499">
        <f t="shared" si="17"/>
        <v>74774449.640000015</v>
      </c>
      <c r="T110" s="498">
        <f t="shared" si="17"/>
        <v>66041353.159999989</v>
      </c>
      <c r="U110" s="499">
        <f t="shared" si="17"/>
        <v>71159606.590000004</v>
      </c>
      <c r="V110" s="498">
        <f t="shared" si="17"/>
        <v>32963002.039999995</v>
      </c>
      <c r="W110" s="507">
        <f t="shared" si="17"/>
        <v>63108491.25</v>
      </c>
      <c r="X110" s="498">
        <f>SUM(X6:X109)</f>
        <v>86980659.699999973</v>
      </c>
      <c r="Y110" s="499">
        <f>SUM(Y6:Y109)</f>
        <v>73007880.690000013</v>
      </c>
      <c r="Z110" s="498">
        <f>SUM(Z6:Z109)</f>
        <v>106343453.12000002</v>
      </c>
      <c r="AA110" s="594">
        <f>SUM(AA6:AA109)</f>
        <v>71071904.039999992</v>
      </c>
      <c r="AB110" s="526"/>
      <c r="AC110" s="606"/>
      <c r="AD110" s="606"/>
      <c r="AE110" s="606"/>
      <c r="AF110" s="606"/>
      <c r="AG110" s="564">
        <f>SUM(AG6:AG109)</f>
        <v>164112590.86590019</v>
      </c>
      <c r="AH110" s="603"/>
      <c r="AI110" s="492">
        <v>214937115.11190012</v>
      </c>
      <c r="AJ110" s="492">
        <v>25008365.099999994</v>
      </c>
      <c r="AK110" s="492">
        <f>SUM(AK6:AK109)</f>
        <v>857984728.45000005</v>
      </c>
      <c r="AL110" s="498">
        <f>SUM(AL6:AL109)</f>
        <v>883800887.59600019</v>
      </c>
      <c r="AM110" s="492">
        <f t="shared" si="11"/>
        <v>164112590.86590004</v>
      </c>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row>
    <row r="111" spans="1:72" x14ac:dyDescent="0.45">
      <c r="A111" s="696"/>
      <c r="B111" s="552"/>
      <c r="C111" s="688"/>
      <c r="J111" s="578"/>
      <c r="P111" s="501"/>
      <c r="Q111" s="502"/>
      <c r="R111" s="501"/>
      <c r="S111" s="501"/>
      <c r="T111" s="501"/>
      <c r="U111" s="501"/>
      <c r="V111" s="501"/>
      <c r="W111" s="501"/>
      <c r="X111" s="509"/>
      <c r="Y111" s="501"/>
      <c r="Z111" s="501"/>
      <c r="AA111" s="509"/>
      <c r="AB111" s="509"/>
      <c r="AC111" s="509"/>
      <c r="AD111" s="509"/>
      <c r="AE111" s="509"/>
      <c r="AF111" s="509"/>
      <c r="AG111" s="473"/>
      <c r="AH111" s="473"/>
      <c r="AM111" s="473">
        <f t="shared" si="11"/>
        <v>0</v>
      </c>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row>
    <row r="112" spans="1:72" x14ac:dyDescent="0.45">
      <c r="A112" s="698" t="s">
        <v>317</v>
      </c>
      <c r="B112" s="458"/>
      <c r="C112" s="458"/>
      <c r="D112" s="572"/>
      <c r="E112" s="460">
        <v>401663.06</v>
      </c>
      <c r="G112" s="461">
        <v>315896.99</v>
      </c>
      <c r="I112" s="460">
        <v>459617.08</v>
      </c>
      <c r="K112" s="460">
        <v>373199.26999999996</v>
      </c>
      <c r="M112" s="460">
        <v>427463.33</v>
      </c>
      <c r="O112" s="630">
        <v>347904.83999999997</v>
      </c>
      <c r="P112" s="501"/>
      <c r="Q112" s="501">
        <v>213443.71</v>
      </c>
      <c r="R112" s="501"/>
      <c r="S112" s="461">
        <v>446478.30000000005</v>
      </c>
      <c r="T112" s="501"/>
      <c r="U112" s="501">
        <v>328341.55</v>
      </c>
      <c r="V112" s="501"/>
      <c r="W112" s="501">
        <v>195092.56999999998</v>
      </c>
      <c r="X112" s="501"/>
      <c r="Y112" s="501">
        <v>331802.15000000002</v>
      </c>
      <c r="Z112" s="501"/>
      <c r="AA112" s="501">
        <v>367580.51999999996</v>
      </c>
      <c r="AB112" s="501"/>
      <c r="AC112" s="501"/>
      <c r="AD112" s="501"/>
      <c r="AE112" s="501"/>
      <c r="AF112" s="501"/>
      <c r="AG112" s="696"/>
      <c r="AH112" s="696"/>
      <c r="AI112" s="696"/>
      <c r="AJ112" s="696"/>
      <c r="AK112" s="696"/>
      <c r="AL112" s="501"/>
      <c r="AM112" s="696"/>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row>
    <row r="113" spans="1:39" x14ac:dyDescent="0.45">
      <c r="A113" s="698" t="s">
        <v>318</v>
      </c>
      <c r="B113" s="504"/>
      <c r="C113" s="504">
        <f>24988365-C110</f>
        <v>-20000.09999999404</v>
      </c>
      <c r="D113" s="505"/>
      <c r="E113" s="505">
        <v>73712440.290000007</v>
      </c>
      <c r="F113" s="505"/>
      <c r="G113" s="541">
        <f>G110+G112</f>
        <v>74950115.679999977</v>
      </c>
      <c r="H113" s="505"/>
      <c r="I113" s="505">
        <f>I110+I112</f>
        <v>62907915.82</v>
      </c>
      <c r="J113" s="607"/>
      <c r="K113" s="505">
        <f>K110+K112</f>
        <v>74475166.450000003</v>
      </c>
      <c r="L113" s="505"/>
      <c r="M113" s="505">
        <f>M110+M112</f>
        <v>76356294.75999999</v>
      </c>
      <c r="N113" s="505"/>
      <c r="O113" s="505">
        <f>O110+O112</f>
        <v>75109578.660000026</v>
      </c>
      <c r="P113" s="501"/>
      <c r="Q113" s="509">
        <f>Q110+Q112</f>
        <v>69890072.860000044</v>
      </c>
      <c r="R113" s="501"/>
      <c r="S113" s="504">
        <v>75220927.939999983</v>
      </c>
      <c r="T113" s="501"/>
      <c r="U113" s="509">
        <f>U110+U112</f>
        <v>71487948.140000001</v>
      </c>
      <c r="V113" s="501"/>
      <c r="W113" s="509">
        <f>W110+W112</f>
        <v>63303583.82</v>
      </c>
      <c r="X113" s="501"/>
      <c r="Y113" s="509">
        <f>Y110+Y112</f>
        <v>73339682.840000018</v>
      </c>
      <c r="Z113" s="509"/>
      <c r="AA113" s="509">
        <f>AA110+AA112</f>
        <v>71439484.559999987</v>
      </c>
      <c r="AB113" s="509"/>
      <c r="AC113" s="509"/>
      <c r="AD113" s="509"/>
      <c r="AE113" s="509"/>
      <c r="AF113" s="509"/>
      <c r="AG113" s="501"/>
      <c r="AH113" s="508"/>
      <c r="AI113" s="508"/>
      <c r="AJ113" s="508"/>
      <c r="AK113" s="508"/>
      <c r="AL113" s="501"/>
      <c r="AM113" s="508"/>
    </row>
    <row r="114" spans="1:39" x14ac:dyDescent="0.45">
      <c r="A114" s="688"/>
      <c r="B114" s="500"/>
      <c r="C114" s="688"/>
      <c r="L114" s="608"/>
      <c r="Q114" s="502"/>
      <c r="R114" s="501"/>
      <c r="S114" s="501"/>
      <c r="T114" s="501"/>
      <c r="U114" s="501"/>
      <c r="V114" s="501"/>
      <c r="W114" s="501"/>
      <c r="Y114" s="501"/>
      <c r="Z114" s="501"/>
      <c r="AA114" s="501"/>
      <c r="AB114" s="501"/>
      <c r="AC114" s="501"/>
      <c r="AD114" s="501"/>
      <c r="AE114" s="501"/>
      <c r="AF114" s="501"/>
      <c r="AG114" s="699"/>
      <c r="AH114" s="699"/>
      <c r="AI114" s="473"/>
      <c r="AJ114" s="473"/>
      <c r="AK114" s="473"/>
      <c r="AL114" s="501"/>
      <c r="AM114" s="473"/>
    </row>
    <row r="115" spans="1:39" x14ac:dyDescent="0.45">
      <c r="A115" s="688"/>
      <c r="B115" s="688"/>
      <c r="C115" s="688"/>
      <c r="Q115" s="461"/>
      <c r="Y115" s="592"/>
      <c r="Z115" s="501"/>
      <c r="AA115" s="501"/>
      <c r="AB115" s="501"/>
      <c r="AC115" s="501"/>
      <c r="AD115" s="501"/>
      <c r="AE115" s="501"/>
      <c r="AF115" s="501"/>
      <c r="AG115" s="473"/>
      <c r="AH115" s="473"/>
      <c r="AI115" s="473"/>
      <c r="AJ115" s="473"/>
      <c r="AK115" s="473"/>
      <c r="AL115" s="501"/>
      <c r="AM115" s="473"/>
    </row>
    <row r="116" spans="1:39" x14ac:dyDescent="0.45">
      <c r="A116" s="688"/>
      <c r="B116" s="500"/>
      <c r="C116" s="688"/>
      <c r="Q116" s="458"/>
      <c r="Y116" s="501"/>
      <c r="Z116" s="501"/>
      <c r="AA116" s="501"/>
      <c r="AB116" s="501"/>
      <c r="AC116" s="501"/>
      <c r="AD116" s="501"/>
      <c r="AE116" s="501"/>
      <c r="AF116" s="501"/>
      <c r="AG116" s="473"/>
      <c r="AH116" s="473"/>
      <c r="AI116" s="473"/>
      <c r="AJ116" s="473"/>
      <c r="AK116" s="473"/>
      <c r="AL116" s="501"/>
      <c r="AM116" s="473"/>
    </row>
    <row r="117" spans="1:39" x14ac:dyDescent="0.45">
      <c r="A117" s="688"/>
      <c r="B117" s="688"/>
      <c r="C117" s="688"/>
      <c r="Q117" s="688"/>
      <c r="Y117" s="501"/>
      <c r="Z117" s="501"/>
      <c r="AA117" s="501"/>
      <c r="AB117" s="501"/>
      <c r="AC117" s="501"/>
      <c r="AD117" s="501"/>
      <c r="AE117" s="501"/>
      <c r="AF117" s="501"/>
      <c r="AG117" s="473"/>
      <c r="AH117" s="473"/>
      <c r="AI117" s="473"/>
      <c r="AJ117" s="473"/>
      <c r="AK117" s="473"/>
      <c r="AL117" s="501"/>
      <c r="AM117" s="473"/>
    </row>
    <row r="118" spans="1:39" x14ac:dyDescent="0.45">
      <c r="A118" s="688"/>
      <c r="B118" s="688"/>
      <c r="C118" s="688"/>
      <c r="F118" s="460">
        <f>B111*2</f>
        <v>0</v>
      </c>
      <c r="Q118" s="688"/>
      <c r="Y118" s="501"/>
      <c r="Z118" s="501"/>
      <c r="AA118" s="501"/>
      <c r="AB118" s="501"/>
      <c r="AC118" s="501"/>
      <c r="AD118" s="501"/>
      <c r="AE118" s="501"/>
      <c r="AF118" s="501"/>
      <c r="AG118" s="473"/>
      <c r="AH118" s="473"/>
      <c r="AI118" s="473"/>
      <c r="AJ118" s="473"/>
      <c r="AK118" s="473"/>
      <c r="AL118" s="501"/>
      <c r="AM118" s="473"/>
    </row>
    <row r="119" spans="1:39" x14ac:dyDescent="0.45">
      <c r="A119" s="688"/>
      <c r="B119" s="688"/>
      <c r="C119" s="688"/>
      <c r="F119" s="460">
        <f>F111*2</f>
        <v>0</v>
      </c>
      <c r="Q119" s="688"/>
    </row>
  </sheetData>
  <mergeCells count="1">
    <mergeCell ref="A1:A2"/>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20"/>
  <sheetViews>
    <sheetView topLeftCell="V30" workbookViewId="0">
      <selection activeCell="AB41" sqref="AB41"/>
    </sheetView>
  </sheetViews>
  <sheetFormatPr defaultRowHeight="18.5" x14ac:dyDescent="0.45"/>
  <cols>
    <col min="1" max="1" width="78.08984375" style="688" customWidth="1"/>
    <col min="2" max="3" width="21.90625" style="688" customWidth="1"/>
    <col min="4" max="6" width="21.90625" style="460" customWidth="1"/>
    <col min="7" max="7" width="21.90625" style="461" customWidth="1"/>
    <col min="8" max="9" width="21.90625" style="460" customWidth="1"/>
    <col min="10" max="10" width="24.6328125" style="460" customWidth="1"/>
    <col min="11" max="11" width="25" style="460" customWidth="1"/>
    <col min="12" max="12" width="23.6328125" style="460" customWidth="1"/>
    <col min="13" max="13" width="21.54296875" style="460" customWidth="1"/>
    <col min="14" max="14" width="21.36328125" style="460" customWidth="1"/>
    <col min="15" max="15" width="21.90625" style="460" customWidth="1"/>
    <col min="16" max="16" width="21.6328125" style="461" customWidth="1"/>
    <col min="17" max="17" width="21.90625" style="688" customWidth="1"/>
    <col min="18" max="23" width="21.90625" style="461" customWidth="1"/>
    <col min="24" max="24" width="28.54296875" style="461" customWidth="1"/>
    <col min="25" max="26" width="21.90625" style="461" customWidth="1"/>
    <col min="27" max="27" width="24.453125" style="461" customWidth="1"/>
    <col min="28" max="28" width="21.90625" style="460" customWidth="1"/>
    <col min="29" max="29" width="25.54296875" style="460" customWidth="1"/>
    <col min="30" max="30" width="26.453125" style="460" customWidth="1"/>
    <col min="31" max="31" width="0.36328125" style="460" customWidth="1"/>
    <col min="32" max="32" width="28.54296875" style="460" customWidth="1"/>
    <col min="33" max="33" width="25.36328125" style="461" customWidth="1"/>
    <col min="34" max="34" width="23" style="460" customWidth="1"/>
    <col min="35" max="35" width="12.6328125" bestFit="1" customWidth="1"/>
    <col min="36" max="36" width="13.36328125" bestFit="1" customWidth="1"/>
    <col min="37" max="37" width="13.81640625" bestFit="1" customWidth="1"/>
  </cols>
  <sheetData>
    <row r="1" spans="1:35" x14ac:dyDescent="0.45">
      <c r="A1" s="1036" t="s">
        <v>0</v>
      </c>
      <c r="B1" s="458"/>
      <c r="AI1" s="682"/>
    </row>
    <row r="2" spans="1:35" ht="19" thickBot="1" x14ac:dyDescent="0.5">
      <c r="A2" s="1037"/>
      <c r="C2" s="458"/>
      <c r="AD2" s="571"/>
      <c r="AE2" s="571"/>
      <c r="AI2" s="682"/>
    </row>
    <row r="3" spans="1:35" ht="91.25" customHeight="1" thickBot="1" x14ac:dyDescent="0.4">
      <c r="A3" s="685">
        <v>44286</v>
      </c>
      <c r="B3" s="464" t="s">
        <v>293</v>
      </c>
      <c r="C3" s="464"/>
      <c r="D3" s="464" t="s">
        <v>3</v>
      </c>
      <c r="E3" s="464" t="s">
        <v>5</v>
      </c>
      <c r="F3" s="464" t="s">
        <v>3</v>
      </c>
      <c r="G3" s="465" t="s">
        <v>5</v>
      </c>
      <c r="H3" s="464" t="s">
        <v>3</v>
      </c>
      <c r="I3" s="464" t="s">
        <v>5</v>
      </c>
      <c r="J3" s="464" t="s">
        <v>3</v>
      </c>
      <c r="K3" s="464" t="s">
        <v>5</v>
      </c>
      <c r="L3" s="464" t="s">
        <v>3</v>
      </c>
      <c r="M3" s="464" t="s">
        <v>5</v>
      </c>
      <c r="N3" s="464" t="s">
        <v>3</v>
      </c>
      <c r="O3" s="464" t="s">
        <v>5</v>
      </c>
      <c r="P3" s="465" t="s">
        <v>3</v>
      </c>
      <c r="Q3" s="464" t="s">
        <v>5</v>
      </c>
      <c r="R3" s="465" t="s">
        <v>181</v>
      </c>
      <c r="S3" s="465" t="s">
        <v>5</v>
      </c>
      <c r="T3" s="465" t="s">
        <v>181</v>
      </c>
      <c r="U3" s="465" t="s">
        <v>5</v>
      </c>
      <c r="V3" s="465" t="s">
        <v>181</v>
      </c>
      <c r="W3" s="465" t="s">
        <v>5</v>
      </c>
      <c r="X3" s="465" t="s">
        <v>181</v>
      </c>
      <c r="Y3" s="465" t="s">
        <v>5</v>
      </c>
      <c r="Z3" s="465" t="s">
        <v>181</v>
      </c>
      <c r="AA3" s="465" t="s">
        <v>5</v>
      </c>
      <c r="AB3" s="466" t="s">
        <v>6</v>
      </c>
      <c r="AC3" s="598"/>
      <c r="AD3" s="518" t="s">
        <v>293</v>
      </c>
      <c r="AE3" s="543" t="s">
        <v>443</v>
      </c>
      <c r="AF3" s="518" t="s">
        <v>318</v>
      </c>
      <c r="AG3" s="595" t="s">
        <v>376</v>
      </c>
      <c r="AH3" s="518" t="s">
        <v>360</v>
      </c>
      <c r="AI3" s="682"/>
    </row>
    <row r="4" spans="1:35" ht="51" customHeight="1" thickBot="1" x14ac:dyDescent="0.5">
      <c r="A4" s="687"/>
      <c r="B4" s="467" t="s">
        <v>213</v>
      </c>
      <c r="C4" s="467" t="s">
        <v>443</v>
      </c>
      <c r="D4" s="467" t="s">
        <v>513</v>
      </c>
      <c r="E4" s="468" t="s">
        <v>513</v>
      </c>
      <c r="F4" s="468" t="s">
        <v>514</v>
      </c>
      <c r="G4" s="524" t="s">
        <v>514</v>
      </c>
      <c r="H4" s="468" t="s">
        <v>515</v>
      </c>
      <c r="I4" s="468" t="s">
        <v>515</v>
      </c>
      <c r="J4" s="469" t="s">
        <v>516</v>
      </c>
      <c r="K4" s="469" t="s">
        <v>516</v>
      </c>
      <c r="L4" s="469" t="s">
        <v>517</v>
      </c>
      <c r="M4" s="469" t="s">
        <v>517</v>
      </c>
      <c r="N4" s="469" t="s">
        <v>518</v>
      </c>
      <c r="O4" s="469" t="s">
        <v>518</v>
      </c>
      <c r="P4" s="470" t="s">
        <v>519</v>
      </c>
      <c r="Q4" s="469" t="s">
        <v>519</v>
      </c>
      <c r="R4" s="470" t="s">
        <v>520</v>
      </c>
      <c r="S4" s="470" t="s">
        <v>520</v>
      </c>
      <c r="T4" s="470" t="s">
        <v>521</v>
      </c>
      <c r="U4" s="470" t="s">
        <v>521</v>
      </c>
      <c r="V4" s="470" t="s">
        <v>522</v>
      </c>
      <c r="W4" s="470" t="s">
        <v>522</v>
      </c>
      <c r="X4" s="470" t="s">
        <v>523</v>
      </c>
      <c r="Y4" s="470" t="s">
        <v>523</v>
      </c>
      <c r="Z4" s="470" t="s">
        <v>524</v>
      </c>
      <c r="AA4" s="470" t="s">
        <v>524</v>
      </c>
      <c r="AB4" s="471"/>
      <c r="AC4" s="599"/>
      <c r="AD4" s="544" t="s">
        <v>213</v>
      </c>
      <c r="AE4" s="544"/>
      <c r="AF4" s="471"/>
      <c r="AG4" s="536"/>
      <c r="AH4" s="576"/>
      <c r="AI4" s="682"/>
    </row>
    <row r="5" spans="1:35" x14ac:dyDescent="0.45">
      <c r="O5" s="473"/>
      <c r="Q5" s="555"/>
      <c r="AB5" s="473"/>
      <c r="AC5" s="600"/>
      <c r="AD5" s="473"/>
      <c r="AE5" s="473"/>
      <c r="AF5" s="473"/>
      <c r="AG5" s="501"/>
      <c r="AH5" s="473"/>
      <c r="AI5" s="682"/>
    </row>
    <row r="6" spans="1:35" x14ac:dyDescent="0.45">
      <c r="A6" s="689" t="s">
        <v>25</v>
      </c>
      <c r="B6" s="474">
        <v>28289793.040000003</v>
      </c>
      <c r="C6" s="475"/>
      <c r="D6" s="474">
        <v>14231830.09</v>
      </c>
      <c r="E6" s="474">
        <v>7802458.2400000002</v>
      </c>
      <c r="F6" s="474">
        <f>7155603.64+6902359.32</f>
        <v>14057962.960000001</v>
      </c>
      <c r="G6" s="477">
        <v>6865941.2000000002</v>
      </c>
      <c r="H6" s="474">
        <v>7802458.2400000002</v>
      </c>
      <c r="I6" s="474">
        <v>7013728.9699999988</v>
      </c>
      <c r="J6" s="474">
        <f>6865941.2</f>
        <v>6865941.2000000002</v>
      </c>
      <c r="K6" s="474">
        <v>6721090.629999999</v>
      </c>
      <c r="L6" s="474">
        <v>7013728.9699999997</v>
      </c>
      <c r="M6" s="474">
        <v>6956361.4300000006</v>
      </c>
      <c r="N6" s="474">
        <v>6721090.6299999999</v>
      </c>
      <c r="O6" s="476">
        <v>6491717.6299999999</v>
      </c>
      <c r="P6" s="477"/>
      <c r="Q6" s="477">
        <v>6934786.0100000007</v>
      </c>
      <c r="R6" s="477">
        <v>6956361.4299999997</v>
      </c>
      <c r="S6" s="477">
        <v>5297170.3099999996</v>
      </c>
      <c r="T6" s="477">
        <v>6491717.6299999999</v>
      </c>
      <c r="U6" s="477">
        <v>4636619.0200000005</v>
      </c>
      <c r="V6" s="477"/>
      <c r="W6" s="477">
        <v>4445670.18</v>
      </c>
      <c r="X6" s="477">
        <f>6934786.01</f>
        <v>6934786.0099999998</v>
      </c>
      <c r="Y6" s="477">
        <v>14749684.92</v>
      </c>
      <c r="Z6" s="477"/>
      <c r="AA6" s="477">
        <v>6648497.96</v>
      </c>
      <c r="AB6" s="476">
        <f t="shared" ref="AB6:AB43" si="0">B6-D6+E6-F6+G6-H6+I6-J6+K6-L6+M6-N6+O6-P6+Q6-R6+S6-T6+U6-V6+W6-X6+Y6-Z6+AA6</f>
        <v>35777642.380000003</v>
      </c>
      <c r="AC6" s="601"/>
      <c r="AD6" s="476">
        <v>28289793.040000003</v>
      </c>
      <c r="AE6" s="476"/>
      <c r="AF6" s="476">
        <f t="shared" ref="AF6:AF37" si="1">E6+G6+I6+K6+M6+O6+Q6+S6+U6+W6+Y6+AA6</f>
        <v>84563726.5</v>
      </c>
      <c r="AG6" s="537">
        <f t="shared" ref="AG6:AG37" si="2">D6+F6+H6+J6+L6+N6+P6+R6+T6+V6+X6+Z6</f>
        <v>77075877.160000011</v>
      </c>
      <c r="AH6" s="474">
        <f>AD6-AE6+AF6-AG6</f>
        <v>35777642.379999995</v>
      </c>
      <c r="AI6" s="591"/>
    </row>
    <row r="7" spans="1:35" x14ac:dyDescent="0.45">
      <c r="A7" s="689" t="s">
        <v>24</v>
      </c>
      <c r="B7" s="474">
        <v>-488646.81599999731</v>
      </c>
      <c r="C7" s="475"/>
      <c r="D7" s="474">
        <v>661948.19999999995</v>
      </c>
      <c r="E7" s="474">
        <v>929099.54</v>
      </c>
      <c r="F7" s="474">
        <f>399925.96+235010.82+124906.36+48196.37+226225.68</f>
        <v>1034265.19</v>
      </c>
      <c r="G7" s="477">
        <v>856963.86</v>
      </c>
      <c r="H7" s="474">
        <v>435126.76999999996</v>
      </c>
      <c r="I7" s="474">
        <v>1206263.02</v>
      </c>
      <c r="J7" s="474">
        <f>105972+114763.37+228477.43+310838.31+117459.58+231770.68</f>
        <v>1109281.3699999999</v>
      </c>
      <c r="K7" s="575">
        <v>897967.58000000007</v>
      </c>
      <c r="L7" s="474">
        <v>1081754.94</v>
      </c>
      <c r="M7" s="474">
        <v>882305.78</v>
      </c>
      <c r="N7" s="474">
        <v>961440.52</v>
      </c>
      <c r="O7" s="476">
        <v>868265.54999999993</v>
      </c>
      <c r="P7" s="477">
        <f>429743.9+31979.35+119785.46+291455.72+235733.02</f>
        <v>1108697.45</v>
      </c>
      <c r="Q7" s="477">
        <v>786792.48</v>
      </c>
      <c r="R7" s="477">
        <v>960378.48</v>
      </c>
      <c r="S7" s="477">
        <v>1417595.05</v>
      </c>
      <c r="T7" s="477">
        <v>722342.51</v>
      </c>
      <c r="U7" s="477">
        <v>868797.33999999985</v>
      </c>
      <c r="V7" s="477">
        <v>1299515.44</v>
      </c>
      <c r="W7" s="477">
        <v>774871.59</v>
      </c>
      <c r="X7" s="477">
        <f>22218.09+227611.35+29219.43+19043.16+367262.86+230558.09</f>
        <v>895912.97999999986</v>
      </c>
      <c r="Y7" s="477">
        <v>1419854.72</v>
      </c>
      <c r="Z7" s="477">
        <f>121434.05+25217.79+243023.22+794213.21+172763.7+132043.99</f>
        <v>1488695.96</v>
      </c>
      <c r="AA7" s="477">
        <v>966814.2300000001</v>
      </c>
      <c r="AB7" s="476">
        <f t="shared" si="0"/>
        <v>-372415.88599999656</v>
      </c>
      <c r="AC7" s="601"/>
      <c r="AD7" s="476">
        <v>-488646.81599999731</v>
      </c>
      <c r="AE7" s="476"/>
      <c r="AF7" s="476">
        <f t="shared" si="1"/>
        <v>11875590.74</v>
      </c>
      <c r="AG7" s="537">
        <f t="shared" si="2"/>
        <v>11759359.809999999</v>
      </c>
      <c r="AH7" s="474">
        <f t="shared" ref="AH7:AH70" si="3">AD7-AE7+AF7-AG7</f>
        <v>-372415.88599999622</v>
      </c>
      <c r="AI7" s="591"/>
    </row>
    <row r="8" spans="1:35" x14ac:dyDescent="0.45">
      <c r="A8" s="689" t="s">
        <v>361</v>
      </c>
      <c r="B8" s="474">
        <v>78603225.006600067</v>
      </c>
      <c r="C8" s="475"/>
      <c r="D8" s="474"/>
      <c r="E8" s="474">
        <v>14117018.390000001</v>
      </c>
      <c r="F8" s="474">
        <f>3925082.2+10288792.97+14117018.39</f>
        <v>28330893.560000002</v>
      </c>
      <c r="G8" s="477">
        <v>15803426.140000001</v>
      </c>
      <c r="H8" s="474"/>
      <c r="I8" s="474">
        <v>11242443.77</v>
      </c>
      <c r="J8" s="474">
        <f>15803426.14</f>
        <v>15803426.140000001</v>
      </c>
      <c r="K8" s="474">
        <v>12992919.720000001</v>
      </c>
      <c r="L8" s="477">
        <v>66993124.219999999</v>
      </c>
      <c r="M8" s="474">
        <v>14037296.330000002</v>
      </c>
      <c r="N8" s="474">
        <f>12992919.72+7096323.12+14037296.33</f>
        <v>34126539.170000002</v>
      </c>
      <c r="O8" s="476">
        <v>14231247.5</v>
      </c>
      <c r="P8" s="477">
        <f>11329511.33</f>
        <v>11329511.33</v>
      </c>
      <c r="Q8" s="477">
        <v>16853920.590000004</v>
      </c>
      <c r="R8" s="477">
        <v>2901736.17</v>
      </c>
      <c r="S8" s="477">
        <v>14744344.300000001</v>
      </c>
      <c r="T8" s="477">
        <v>27380872.25</v>
      </c>
      <c r="U8" s="477">
        <v>14850351.01</v>
      </c>
      <c r="V8" s="477">
        <v>4217392.6399999997</v>
      </c>
      <c r="W8" s="477">
        <v>12754217.640000002</v>
      </c>
      <c r="X8" s="477">
        <f>14850351.01+12754217.64</f>
        <v>27604568.649999999</v>
      </c>
      <c r="Y8" s="477">
        <v>23819767.73</v>
      </c>
      <c r="Z8" s="477"/>
      <c r="AA8" s="477">
        <v>15735953.970000001</v>
      </c>
      <c r="AB8" s="476">
        <f t="shared" si="0"/>
        <v>41098067.966600068</v>
      </c>
      <c r="AC8" s="601"/>
      <c r="AD8" s="476">
        <v>78603225.006600067</v>
      </c>
      <c r="AE8" s="476"/>
      <c r="AF8" s="476">
        <f t="shared" si="1"/>
        <v>181182907.09</v>
      </c>
      <c r="AG8" s="537">
        <f t="shared" si="2"/>
        <v>218688064.13</v>
      </c>
      <c r="AH8" s="474">
        <f t="shared" si="3"/>
        <v>41098067.96660006</v>
      </c>
      <c r="AI8" s="591"/>
    </row>
    <row r="9" spans="1:35" x14ac:dyDescent="0.45">
      <c r="A9" s="689" t="s">
        <v>362</v>
      </c>
      <c r="B9" s="474">
        <v>1623713.8799999985</v>
      </c>
      <c r="C9" s="475"/>
      <c r="D9" s="474"/>
      <c r="E9" s="474">
        <v>402971.61</v>
      </c>
      <c r="F9" s="474"/>
      <c r="G9" s="477">
        <v>462180.4</v>
      </c>
      <c r="H9" s="474">
        <f>1623714.72</f>
        <v>1623714.72</v>
      </c>
      <c r="I9" s="474">
        <v>3211870.4</v>
      </c>
      <c r="J9" s="474"/>
      <c r="K9" s="474">
        <v>1373832.3699999999</v>
      </c>
      <c r="L9" s="474"/>
      <c r="M9" s="474">
        <v>1543937.68</v>
      </c>
      <c r="N9" s="474"/>
      <c r="O9" s="476">
        <v>1470002.5999999999</v>
      </c>
      <c r="P9" s="477"/>
      <c r="Q9" s="477">
        <v>1425243.59</v>
      </c>
      <c r="R9" s="477">
        <v>8464794.6600000001</v>
      </c>
      <c r="S9" s="477">
        <v>1663098.6900000002</v>
      </c>
      <c r="T9" s="477">
        <v>1425243.59</v>
      </c>
      <c r="U9" s="477">
        <v>1505579.27</v>
      </c>
      <c r="V9" s="477">
        <v>3168677.96</v>
      </c>
      <c r="W9" s="477">
        <v>1350044.9</v>
      </c>
      <c r="X9" s="477"/>
      <c r="Y9" s="477">
        <v>1446448.4700000002</v>
      </c>
      <c r="Z9" s="477">
        <f>1350044.9+1446448.47</f>
        <v>2796493.37</v>
      </c>
      <c r="AA9" s="477">
        <v>1975082.98</v>
      </c>
      <c r="AB9" s="476">
        <f t="shared" si="0"/>
        <v>1975082.5399999986</v>
      </c>
      <c r="AC9" s="601"/>
      <c r="AD9" s="476">
        <v>1623713.8799999985</v>
      </c>
      <c r="AE9" s="476"/>
      <c r="AF9" s="476">
        <f t="shared" si="1"/>
        <v>17830292.960000001</v>
      </c>
      <c r="AG9" s="537">
        <f t="shared" si="2"/>
        <v>17478924.300000001</v>
      </c>
      <c r="AH9" s="474">
        <f t="shared" si="3"/>
        <v>1975082.5399999991</v>
      </c>
      <c r="AI9" s="591"/>
    </row>
    <row r="10" spans="1:35" x14ac:dyDescent="0.45">
      <c r="A10" s="689" t="s">
        <v>31</v>
      </c>
      <c r="B10" s="474">
        <v>5540167.9700000091</v>
      </c>
      <c r="C10" s="475"/>
      <c r="D10" s="474"/>
      <c r="E10" s="474">
        <v>4839108.87</v>
      </c>
      <c r="F10" s="474"/>
      <c r="G10" s="477">
        <v>4807488.0699999994</v>
      </c>
      <c r="H10" s="474"/>
      <c r="I10" s="474">
        <v>5101285.4399999995</v>
      </c>
      <c r="J10" s="474"/>
      <c r="K10" s="575">
        <v>5121453.5100000007</v>
      </c>
      <c r="L10" s="474">
        <v>16140624.67</v>
      </c>
      <c r="M10" s="474">
        <v>5249547.88</v>
      </c>
      <c r="N10" s="474">
        <f>4598106.91+5121453.51</f>
        <v>9719560.4199999999</v>
      </c>
      <c r="O10" s="476">
        <v>5392671.8800000008</v>
      </c>
      <c r="P10" s="477">
        <f>5249547.88+5392671.88</f>
        <v>10642219.76</v>
      </c>
      <c r="Q10" s="477">
        <v>5293148.74</v>
      </c>
      <c r="R10" s="477">
        <v>5283959.49</v>
      </c>
      <c r="S10" s="477">
        <v>5668794.0499999998</v>
      </c>
      <c r="T10" s="477">
        <v>5613421.1299999999</v>
      </c>
      <c r="U10" s="477">
        <v>5548658.4900000002</v>
      </c>
      <c r="V10" s="477"/>
      <c r="W10" s="477">
        <v>5326091.66</v>
      </c>
      <c r="X10" s="477">
        <v>10932001.23</v>
      </c>
      <c r="Y10" s="477">
        <v>5864449.4700000007</v>
      </c>
      <c r="Z10" s="477">
        <f>7311.09+5835434.23</f>
        <v>5842745.3200000003</v>
      </c>
      <c r="AA10" s="477">
        <v>5928735.1299999999</v>
      </c>
      <c r="AB10" s="476">
        <f t="shared" si="0"/>
        <v>5507069.1400000127</v>
      </c>
      <c r="AC10" s="601"/>
      <c r="AD10" s="476">
        <v>5540167.9700000091</v>
      </c>
      <c r="AE10" s="476"/>
      <c r="AF10" s="476">
        <f t="shared" si="1"/>
        <v>64141433.190000005</v>
      </c>
      <c r="AG10" s="537">
        <f t="shared" si="2"/>
        <v>64174532.020000003</v>
      </c>
      <c r="AH10" s="474">
        <f t="shared" si="3"/>
        <v>5507069.140000008</v>
      </c>
      <c r="AI10" s="591"/>
    </row>
    <row r="11" spans="1:35" x14ac:dyDescent="0.45">
      <c r="A11" s="689" t="s">
        <v>189</v>
      </c>
      <c r="B11" s="474">
        <v>-2348.8999999994412</v>
      </c>
      <c r="C11" s="475"/>
      <c r="D11" s="474"/>
      <c r="E11" s="474">
        <v>0</v>
      </c>
      <c r="F11" s="474"/>
      <c r="G11" s="477">
        <v>0</v>
      </c>
      <c r="H11" s="474"/>
      <c r="I11" s="474">
        <v>0</v>
      </c>
      <c r="J11" s="474"/>
      <c r="K11" s="474">
        <v>0</v>
      </c>
      <c r="L11" s="474"/>
      <c r="M11" s="474">
        <v>0</v>
      </c>
      <c r="N11" s="474"/>
      <c r="O11" s="476">
        <v>0</v>
      </c>
      <c r="P11" s="477"/>
      <c r="Q11" s="477">
        <v>0</v>
      </c>
      <c r="R11" s="477"/>
      <c r="S11" s="477">
        <v>0</v>
      </c>
      <c r="T11" s="477"/>
      <c r="U11" s="477">
        <v>0</v>
      </c>
      <c r="V11" s="477"/>
      <c r="W11" s="477">
        <v>0</v>
      </c>
      <c r="X11" s="477"/>
      <c r="Y11" s="477">
        <v>0</v>
      </c>
      <c r="Z11" s="477"/>
      <c r="AA11" s="477">
        <v>0</v>
      </c>
      <c r="AB11" s="476">
        <f t="shared" si="0"/>
        <v>-2348.8999999994412</v>
      </c>
      <c r="AC11" s="601"/>
      <c r="AD11" s="476">
        <v>-2348.8999999994412</v>
      </c>
      <c r="AE11" s="476"/>
      <c r="AF11" s="476">
        <f t="shared" si="1"/>
        <v>0</v>
      </c>
      <c r="AG11" s="537">
        <f t="shared" si="2"/>
        <v>0</v>
      </c>
      <c r="AH11" s="474">
        <f t="shared" si="3"/>
        <v>-2348.8999999994412</v>
      </c>
      <c r="AI11" s="591"/>
    </row>
    <row r="12" spans="1:35" x14ac:dyDescent="0.45">
      <c r="A12" s="691" t="s">
        <v>363</v>
      </c>
      <c r="B12" s="609">
        <v>1599901.8000000324</v>
      </c>
      <c r="C12" s="610"/>
      <c r="D12" s="609"/>
      <c r="E12" s="611">
        <v>6403045.5</v>
      </c>
      <c r="F12" s="609"/>
      <c r="G12" s="611">
        <v>6394764.3900000006</v>
      </c>
      <c r="H12" s="609">
        <f>8002947.28</f>
        <v>8002947.2800000003</v>
      </c>
      <c r="I12" s="609">
        <v>6367531.8600000003</v>
      </c>
      <c r="J12" s="609">
        <f>6394764.39</f>
        <v>6394764.3899999997</v>
      </c>
      <c r="K12" s="609">
        <v>6135489.9100000001</v>
      </c>
      <c r="L12" s="609">
        <v>12503021.77</v>
      </c>
      <c r="M12" s="609">
        <v>6402600.7200000007</v>
      </c>
      <c r="N12" s="609">
        <v>6410895.7199999997</v>
      </c>
      <c r="O12" s="612">
        <v>6326957.8500000015</v>
      </c>
      <c r="P12" s="611">
        <v>6318662.8700000001</v>
      </c>
      <c r="Q12" s="611">
        <v>9753312.9900000002</v>
      </c>
      <c r="R12" s="611">
        <v>9753312.9900000002</v>
      </c>
      <c r="S12" s="611">
        <v>7766639.4199999999</v>
      </c>
      <c r="T12" s="611"/>
      <c r="U12" s="611">
        <v>7278633.3100000005</v>
      </c>
      <c r="V12" s="611">
        <f>7766639.42</f>
        <v>7766639.4199999999</v>
      </c>
      <c r="W12" s="614">
        <v>7017472.29</v>
      </c>
      <c r="X12" s="611">
        <f>7278633.31+7017472.29</f>
        <v>14296105.6</v>
      </c>
      <c r="Y12" s="611">
        <v>6531304.25</v>
      </c>
      <c r="Z12" s="611">
        <v>6531304.25</v>
      </c>
      <c r="AA12" s="611">
        <v>7737599.6900000004</v>
      </c>
      <c r="AB12" s="476">
        <f t="shared" si="0"/>
        <v>7737599.6900000358</v>
      </c>
      <c r="AC12" s="601"/>
      <c r="AD12" s="476">
        <v>1599901.8000000324</v>
      </c>
      <c r="AE12" s="476"/>
      <c r="AF12" s="476">
        <f t="shared" si="1"/>
        <v>84115352.180000007</v>
      </c>
      <c r="AG12" s="537">
        <f t="shared" si="2"/>
        <v>77977654.289999992</v>
      </c>
      <c r="AH12" s="474">
        <f t="shared" si="3"/>
        <v>7737599.6900000423</v>
      </c>
      <c r="AI12" s="591"/>
    </row>
    <row r="13" spans="1:35" x14ac:dyDescent="0.45">
      <c r="A13" s="691" t="s">
        <v>364</v>
      </c>
      <c r="B13" s="609">
        <v>2562858.7140000183</v>
      </c>
      <c r="C13" s="610"/>
      <c r="D13" s="609"/>
      <c r="E13" s="609">
        <v>2329912.54</v>
      </c>
      <c r="F13" s="609">
        <v>2439778.2599999998</v>
      </c>
      <c r="G13" s="611">
        <v>2301972.83</v>
      </c>
      <c r="H13" s="609">
        <f>2286230.29</f>
        <v>2286230.29</v>
      </c>
      <c r="I13" s="609">
        <v>2325387.19</v>
      </c>
      <c r="J13" s="609">
        <f>2257656.62</f>
        <v>2257656.62</v>
      </c>
      <c r="K13" s="609">
        <v>2340986.3299999996</v>
      </c>
      <c r="L13" s="609">
        <v>2281712.36</v>
      </c>
      <c r="M13" s="609">
        <v>2509438.5099999998</v>
      </c>
      <c r="N13" s="609">
        <f>2297507.15+223527.41+44018.44</f>
        <v>2565053</v>
      </c>
      <c r="O13" s="612">
        <v>2524700.89</v>
      </c>
      <c r="P13" s="611">
        <f>2452887.02+45916.38</f>
        <v>2498803.4</v>
      </c>
      <c r="Q13" s="611">
        <v>2226054.13</v>
      </c>
      <c r="R13" s="611">
        <v>2520374.09</v>
      </c>
      <c r="S13" s="611">
        <v>1403822.4000000001</v>
      </c>
      <c r="T13" s="611">
        <v>2183448.13</v>
      </c>
      <c r="U13" s="611">
        <v>1215257.93</v>
      </c>
      <c r="V13" s="611">
        <f>1360991.54</f>
        <v>1360991.54</v>
      </c>
      <c r="W13" s="611">
        <v>800801.19</v>
      </c>
      <c r="X13" s="611"/>
      <c r="Y13" s="611">
        <v>6728939.7199999997</v>
      </c>
      <c r="Z13" s="637">
        <f>45754.77+88271.71+756883.38</f>
        <v>890909.86</v>
      </c>
      <c r="AA13" s="611">
        <v>2550779.63</v>
      </c>
      <c r="AB13" s="476">
        <f t="shared" si="0"/>
        <v>10535954.454000019</v>
      </c>
      <c r="AC13" s="601"/>
      <c r="AD13" s="476">
        <v>2562858.7140000183</v>
      </c>
      <c r="AE13" s="476"/>
      <c r="AF13" s="476">
        <f t="shared" si="1"/>
        <v>29258053.289999999</v>
      </c>
      <c r="AG13" s="537">
        <f t="shared" si="2"/>
        <v>21284957.549999997</v>
      </c>
      <c r="AH13" s="474">
        <f t="shared" si="3"/>
        <v>10535954.454000019</v>
      </c>
      <c r="AI13" s="591"/>
    </row>
    <row r="14" spans="1:35" x14ac:dyDescent="0.45">
      <c r="A14" s="691" t="s">
        <v>86</v>
      </c>
      <c r="B14" s="609">
        <v>7752.0000000001164</v>
      </c>
      <c r="C14" s="610"/>
      <c r="D14" s="609"/>
      <c r="E14" s="614">
        <v>0</v>
      </c>
      <c r="F14" s="609"/>
      <c r="G14" s="611">
        <v>15504</v>
      </c>
      <c r="H14" s="609"/>
      <c r="I14" s="609">
        <v>7752</v>
      </c>
      <c r="J14" s="609"/>
      <c r="K14" s="609">
        <v>7752</v>
      </c>
      <c r="L14" s="609"/>
      <c r="M14" s="609">
        <v>7752</v>
      </c>
      <c r="N14" s="609"/>
      <c r="O14" s="612">
        <v>7752</v>
      </c>
      <c r="P14" s="611"/>
      <c r="Q14" s="611">
        <v>0</v>
      </c>
      <c r="R14" s="611"/>
      <c r="S14" s="611">
        <v>15504</v>
      </c>
      <c r="T14" s="611"/>
      <c r="U14" s="611">
        <v>7752</v>
      </c>
      <c r="V14" s="611"/>
      <c r="W14" s="611">
        <v>7752</v>
      </c>
      <c r="X14" s="611"/>
      <c r="Y14" s="611">
        <v>7752</v>
      </c>
      <c r="Z14" s="611"/>
      <c r="AA14" s="611">
        <v>7752</v>
      </c>
      <c r="AB14" s="476">
        <f t="shared" si="0"/>
        <v>100776.00000000012</v>
      </c>
      <c r="AC14" s="601"/>
      <c r="AD14" s="476">
        <v>7752.0000000001164</v>
      </c>
      <c r="AE14" s="476"/>
      <c r="AF14" s="476">
        <f t="shared" si="1"/>
        <v>93024</v>
      </c>
      <c r="AG14" s="537">
        <f t="shared" si="2"/>
        <v>0</v>
      </c>
      <c r="AH14" s="474">
        <f t="shared" si="3"/>
        <v>100776.00000000012</v>
      </c>
      <c r="AI14" s="591"/>
    </row>
    <row r="15" spans="1:35" x14ac:dyDescent="0.45">
      <c r="A15" s="691" t="s">
        <v>334</v>
      </c>
      <c r="B15" s="609">
        <v>8749.9999999983702</v>
      </c>
      <c r="C15" s="610"/>
      <c r="D15" s="609"/>
      <c r="E15" s="609">
        <v>8749</v>
      </c>
      <c r="F15" s="609"/>
      <c r="G15" s="611">
        <v>8749</v>
      </c>
      <c r="H15" s="609"/>
      <c r="I15" s="609">
        <v>8749</v>
      </c>
      <c r="J15" s="609"/>
      <c r="K15" s="609">
        <v>8749</v>
      </c>
      <c r="L15" s="609"/>
      <c r="M15" s="611">
        <v>8749</v>
      </c>
      <c r="N15" s="609"/>
      <c r="O15" s="612">
        <v>8749</v>
      </c>
      <c r="P15" s="611"/>
      <c r="Q15" s="575">
        <v>17498</v>
      </c>
      <c r="R15" s="611"/>
      <c r="S15" s="611">
        <v>8749</v>
      </c>
      <c r="T15" s="611"/>
      <c r="U15" s="611">
        <v>8749</v>
      </c>
      <c r="V15" s="611"/>
      <c r="W15" s="611">
        <v>8749</v>
      </c>
      <c r="X15" s="611"/>
      <c r="Y15" s="611">
        <v>8749</v>
      </c>
      <c r="Z15" s="611"/>
      <c r="AA15" s="611">
        <v>8749</v>
      </c>
      <c r="AB15" s="476">
        <f t="shared" si="0"/>
        <v>122486.99999999837</v>
      </c>
      <c r="AC15" s="601"/>
      <c r="AD15" s="476">
        <v>8749.9999999983702</v>
      </c>
      <c r="AE15" s="476"/>
      <c r="AF15" s="476">
        <f t="shared" si="1"/>
        <v>113737</v>
      </c>
      <c r="AG15" s="537">
        <f t="shared" si="2"/>
        <v>0</v>
      </c>
      <c r="AH15" s="474">
        <f t="shared" si="3"/>
        <v>122486.99999999837</v>
      </c>
      <c r="AI15" s="591"/>
    </row>
    <row r="16" spans="1:35" x14ac:dyDescent="0.45">
      <c r="A16" s="691" t="s">
        <v>459</v>
      </c>
      <c r="B16" s="609">
        <v>94994.15</v>
      </c>
      <c r="C16" s="610"/>
      <c r="D16" s="609"/>
      <c r="E16" s="611">
        <v>0</v>
      </c>
      <c r="F16" s="609"/>
      <c r="G16" s="611">
        <v>0</v>
      </c>
      <c r="H16" s="609"/>
      <c r="I16" s="609">
        <v>0</v>
      </c>
      <c r="J16" s="609"/>
      <c r="K16" s="609">
        <v>0</v>
      </c>
      <c r="L16" s="609"/>
      <c r="M16" s="611">
        <v>0</v>
      </c>
      <c r="N16" s="609"/>
      <c r="O16" s="612">
        <v>0</v>
      </c>
      <c r="P16" s="611"/>
      <c r="Q16" s="611">
        <v>0</v>
      </c>
      <c r="R16" s="611"/>
      <c r="S16" s="611">
        <v>0</v>
      </c>
      <c r="T16" s="611"/>
      <c r="U16" s="611">
        <v>0</v>
      </c>
      <c r="V16" s="611"/>
      <c r="W16" s="611">
        <v>0</v>
      </c>
      <c r="X16" s="611"/>
      <c r="Y16" s="611">
        <v>0</v>
      </c>
      <c r="Z16" s="611"/>
      <c r="AA16" s="611">
        <v>0</v>
      </c>
      <c r="AB16" s="476">
        <f t="shared" si="0"/>
        <v>94994.15</v>
      </c>
      <c r="AC16" s="601"/>
      <c r="AD16" s="476">
        <v>94994.15</v>
      </c>
      <c r="AE16" s="476"/>
      <c r="AF16" s="476">
        <f t="shared" si="1"/>
        <v>0</v>
      </c>
      <c r="AG16" s="537">
        <f t="shared" si="2"/>
        <v>0</v>
      </c>
      <c r="AH16" s="474">
        <f t="shared" si="3"/>
        <v>94994.15</v>
      </c>
      <c r="AI16" s="591"/>
    </row>
    <row r="17" spans="1:35" x14ac:dyDescent="0.45">
      <c r="A17" s="691" t="s">
        <v>460</v>
      </c>
      <c r="B17" s="609">
        <v>-7.2759576141834259E-12</v>
      </c>
      <c r="C17" s="610"/>
      <c r="D17" s="609"/>
      <c r="E17" s="611">
        <v>0</v>
      </c>
      <c r="F17" s="609"/>
      <c r="G17" s="611">
        <v>0</v>
      </c>
      <c r="H17" s="609"/>
      <c r="I17" s="609">
        <v>0</v>
      </c>
      <c r="J17" s="609"/>
      <c r="K17" s="609">
        <v>0</v>
      </c>
      <c r="L17" s="609"/>
      <c r="M17" s="611">
        <v>0</v>
      </c>
      <c r="N17" s="609"/>
      <c r="O17" s="612">
        <v>0</v>
      </c>
      <c r="P17" s="611"/>
      <c r="Q17" s="611">
        <v>0</v>
      </c>
      <c r="R17" s="611"/>
      <c r="S17" s="611">
        <v>0</v>
      </c>
      <c r="T17" s="611"/>
      <c r="U17" s="611">
        <v>0</v>
      </c>
      <c r="V17" s="611"/>
      <c r="W17" s="611">
        <v>0</v>
      </c>
      <c r="X17" s="611"/>
      <c r="Y17" s="611">
        <v>0</v>
      </c>
      <c r="Z17" s="611"/>
      <c r="AA17" s="611">
        <v>0</v>
      </c>
      <c r="AB17" s="476">
        <f t="shared" si="0"/>
        <v>-7.2759576141834259E-12</v>
      </c>
      <c r="AC17" s="601"/>
      <c r="AD17" s="476">
        <v>-7.2759576141834259E-12</v>
      </c>
      <c r="AE17" s="476"/>
      <c r="AF17" s="476">
        <f t="shared" si="1"/>
        <v>0</v>
      </c>
      <c r="AG17" s="537">
        <f t="shared" si="2"/>
        <v>0</v>
      </c>
      <c r="AH17" s="474">
        <f t="shared" si="3"/>
        <v>-7.2759576141834259E-12</v>
      </c>
      <c r="AI17" s="591"/>
    </row>
    <row r="18" spans="1:35" x14ac:dyDescent="0.45">
      <c r="A18" s="691" t="s">
        <v>461</v>
      </c>
      <c r="B18" s="609">
        <v>0</v>
      </c>
      <c r="C18" s="610"/>
      <c r="D18" s="609"/>
      <c r="E18" s="611">
        <v>0</v>
      </c>
      <c r="F18" s="609"/>
      <c r="G18" s="611">
        <v>0</v>
      </c>
      <c r="H18" s="609"/>
      <c r="I18" s="609">
        <v>0</v>
      </c>
      <c r="J18" s="609"/>
      <c r="K18" s="609">
        <v>0</v>
      </c>
      <c r="L18" s="609"/>
      <c r="M18" s="611">
        <v>0</v>
      </c>
      <c r="N18" s="609"/>
      <c r="O18" s="612">
        <v>0</v>
      </c>
      <c r="P18" s="611"/>
      <c r="Q18" s="611">
        <v>0</v>
      </c>
      <c r="R18" s="611"/>
      <c r="S18" s="611">
        <v>0</v>
      </c>
      <c r="T18" s="611"/>
      <c r="U18" s="611">
        <v>0</v>
      </c>
      <c r="V18" s="611"/>
      <c r="W18" s="611">
        <v>0</v>
      </c>
      <c r="X18" s="611"/>
      <c r="Y18" s="611">
        <v>0</v>
      </c>
      <c r="Z18" s="611"/>
      <c r="AA18" s="611">
        <v>0</v>
      </c>
      <c r="AB18" s="476">
        <f t="shared" si="0"/>
        <v>0</v>
      </c>
      <c r="AC18" s="601"/>
      <c r="AD18" s="476">
        <v>0</v>
      </c>
      <c r="AE18" s="476"/>
      <c r="AF18" s="476">
        <f t="shared" si="1"/>
        <v>0</v>
      </c>
      <c r="AG18" s="537">
        <f t="shared" si="2"/>
        <v>0</v>
      </c>
      <c r="AH18" s="474">
        <f t="shared" si="3"/>
        <v>0</v>
      </c>
      <c r="AI18" s="591"/>
    </row>
    <row r="19" spans="1:35" x14ac:dyDescent="0.45">
      <c r="A19" s="691" t="s">
        <v>41</v>
      </c>
      <c r="B19" s="609">
        <v>596484.66999999958</v>
      </c>
      <c r="C19" s="610"/>
      <c r="D19" s="609"/>
      <c r="E19" s="609">
        <v>4160.88</v>
      </c>
      <c r="F19" s="609"/>
      <c r="G19" s="611">
        <v>0</v>
      </c>
      <c r="H19" s="609"/>
      <c r="I19" s="609">
        <v>0</v>
      </c>
      <c r="J19" s="609"/>
      <c r="K19" s="609">
        <v>0</v>
      </c>
      <c r="L19" s="609"/>
      <c r="M19" s="611">
        <v>0</v>
      </c>
      <c r="N19" s="609"/>
      <c r="O19" s="612">
        <v>0</v>
      </c>
      <c r="P19" s="611"/>
      <c r="Q19" s="611">
        <v>0</v>
      </c>
      <c r="R19" s="611"/>
      <c r="S19" s="611">
        <v>3510.51</v>
      </c>
      <c r="T19" s="611"/>
      <c r="U19" s="611">
        <v>0</v>
      </c>
      <c r="V19" s="611"/>
      <c r="W19" s="611">
        <v>0</v>
      </c>
      <c r="X19" s="640"/>
      <c r="Y19" s="611">
        <v>0</v>
      </c>
      <c r="Z19" s="611"/>
      <c r="AA19" s="611">
        <v>0</v>
      </c>
      <c r="AB19" s="476">
        <f t="shared" si="0"/>
        <v>604156.05999999959</v>
      </c>
      <c r="AC19" s="601"/>
      <c r="AD19" s="476">
        <v>596484.66999999958</v>
      </c>
      <c r="AE19" s="476"/>
      <c r="AF19" s="476">
        <f t="shared" si="1"/>
        <v>7671.39</v>
      </c>
      <c r="AG19" s="537">
        <f t="shared" si="2"/>
        <v>0</v>
      </c>
      <c r="AH19" s="474">
        <f t="shared" si="3"/>
        <v>604156.05999999959</v>
      </c>
      <c r="AI19" s="591"/>
    </row>
    <row r="20" spans="1:35" x14ac:dyDescent="0.45">
      <c r="A20" s="691" t="s">
        <v>26</v>
      </c>
      <c r="B20" s="609">
        <v>1158207.7100000111</v>
      </c>
      <c r="C20" s="610"/>
      <c r="D20" s="609"/>
      <c r="E20" s="609">
        <v>5272152.2700000005</v>
      </c>
      <c r="F20" s="609">
        <f>5272152.27+1158207.71</f>
        <v>6430359.9799999995</v>
      </c>
      <c r="G20" s="611">
        <v>5272329.7799999993</v>
      </c>
      <c r="H20" s="609"/>
      <c r="I20" s="609">
        <v>6042787.3500000006</v>
      </c>
      <c r="J20" s="609">
        <f>5272329.78</f>
        <v>5272329.78</v>
      </c>
      <c r="K20" s="609">
        <v>5554741.3599999994</v>
      </c>
      <c r="L20" s="609">
        <v>6042787.3499999996</v>
      </c>
      <c r="M20" s="609">
        <v>5531106.5200000005</v>
      </c>
      <c r="N20" s="609">
        <f>5554741.36+5531106.52</f>
        <v>11085847.879999999</v>
      </c>
      <c r="O20" s="612">
        <v>5675335.7800000003</v>
      </c>
      <c r="P20" s="611">
        <v>5675335.7800000003</v>
      </c>
      <c r="Q20" s="611">
        <v>5458905.2599999998</v>
      </c>
      <c r="R20" s="611">
        <v>5458905.2599999998</v>
      </c>
      <c r="S20" s="611">
        <v>6538365.3500000006</v>
      </c>
      <c r="T20" s="611">
        <v>6538365.3500000006</v>
      </c>
      <c r="U20" s="611">
        <v>7210662.2400000002</v>
      </c>
      <c r="V20" s="611">
        <v>7210662.2400000002</v>
      </c>
      <c r="W20" s="611">
        <v>6589590.75</v>
      </c>
      <c r="X20" s="611">
        <v>6589590.75</v>
      </c>
      <c r="Y20" s="611">
        <v>9284913.0199999996</v>
      </c>
      <c r="Z20" s="611">
        <v>9284913.0199999996</v>
      </c>
      <c r="AA20" s="611">
        <v>6066679.5200000005</v>
      </c>
      <c r="AB20" s="476">
        <f t="shared" si="0"/>
        <v>6066679.5200000154</v>
      </c>
      <c r="AC20" s="601"/>
      <c r="AD20" s="476">
        <v>1158207.7100000111</v>
      </c>
      <c r="AE20" s="476"/>
      <c r="AF20" s="476">
        <f t="shared" si="1"/>
        <v>74497569.200000003</v>
      </c>
      <c r="AG20" s="537">
        <f t="shared" si="2"/>
        <v>69589097.390000001</v>
      </c>
      <c r="AH20" s="474">
        <f t="shared" si="3"/>
        <v>6066679.5200000107</v>
      </c>
      <c r="AI20" s="591"/>
    </row>
    <row r="21" spans="1:35" x14ac:dyDescent="0.45">
      <c r="A21" s="691" t="s">
        <v>36</v>
      </c>
      <c r="B21" s="609">
        <v>5040290.429999996</v>
      </c>
      <c r="C21" s="610"/>
      <c r="D21" s="609"/>
      <c r="E21" s="609">
        <v>1263508.6100000001</v>
      </c>
      <c r="F21" s="609"/>
      <c r="G21" s="611">
        <v>1132907.28</v>
      </c>
      <c r="H21" s="609"/>
      <c r="I21" s="609">
        <v>1182211.44</v>
      </c>
      <c r="J21" s="609">
        <f>2574115.73</f>
        <v>2574115.73</v>
      </c>
      <c r="K21" s="609">
        <v>1225074.23</v>
      </c>
      <c r="L21" s="609">
        <v>6044802.0300000003</v>
      </c>
      <c r="M21" s="611">
        <v>1236907.7600000002</v>
      </c>
      <c r="N21" s="609">
        <v>1225074.23</v>
      </c>
      <c r="O21" s="612">
        <v>1212355.9500000002</v>
      </c>
      <c r="P21" s="611"/>
      <c r="Q21" s="611">
        <v>1136620.73</v>
      </c>
      <c r="R21" s="611">
        <v>1236907.76</v>
      </c>
      <c r="S21" s="611">
        <v>1568027.11</v>
      </c>
      <c r="T21" s="611"/>
      <c r="U21" s="611">
        <v>1257359.8400000001</v>
      </c>
      <c r="V21" s="611"/>
      <c r="W21" s="611">
        <v>1119910.3600000001</v>
      </c>
      <c r="X21" s="611">
        <f>3240391.93</f>
        <v>3240391.93</v>
      </c>
      <c r="Y21" s="611">
        <v>1635164.5799999998</v>
      </c>
      <c r="Z21" s="611">
        <f>1558710.83</f>
        <v>1558710.83</v>
      </c>
      <c r="AA21" s="611">
        <v>876123.92000000016</v>
      </c>
      <c r="AB21" s="476">
        <f t="shared" si="0"/>
        <v>4006459.7299999958</v>
      </c>
      <c r="AC21" s="601"/>
      <c r="AD21" s="476">
        <v>5040290.429999996</v>
      </c>
      <c r="AE21" s="476"/>
      <c r="AF21" s="476">
        <f t="shared" si="1"/>
        <v>14846171.809999999</v>
      </c>
      <c r="AG21" s="537">
        <f t="shared" si="2"/>
        <v>15880002.51</v>
      </c>
      <c r="AH21" s="474">
        <f t="shared" si="3"/>
        <v>4006459.7299999949</v>
      </c>
      <c r="AI21" s="591"/>
    </row>
    <row r="22" spans="1:35" x14ac:dyDescent="0.45">
      <c r="A22" s="691" t="s">
        <v>23</v>
      </c>
      <c r="B22" s="609">
        <v>419915.18000000151</v>
      </c>
      <c r="C22" s="610"/>
      <c r="D22" s="609"/>
      <c r="E22" s="609">
        <v>142947.01999999999</v>
      </c>
      <c r="F22" s="609"/>
      <c r="G22" s="611">
        <v>143877.10999999999</v>
      </c>
      <c r="H22" s="609"/>
      <c r="I22" s="609">
        <v>111194.18999999999</v>
      </c>
      <c r="J22" s="609"/>
      <c r="K22" s="609">
        <v>113869.81</v>
      </c>
      <c r="L22" s="609">
        <v>385208.26</v>
      </c>
      <c r="M22" s="609">
        <v>112657.7</v>
      </c>
      <c r="N22" s="609">
        <v>210460.84</v>
      </c>
      <c r="O22" s="612">
        <v>113848.23</v>
      </c>
      <c r="P22" s="611">
        <f>105236.42</f>
        <v>105236.42</v>
      </c>
      <c r="Q22" s="611">
        <v>126360.35</v>
      </c>
      <c r="R22" s="611"/>
      <c r="S22" s="611">
        <v>112791.21</v>
      </c>
      <c r="T22" s="611">
        <v>84072.95</v>
      </c>
      <c r="U22" s="611">
        <v>116256.2</v>
      </c>
      <c r="V22" s="611">
        <f>106666.35</f>
        <v>106666.35</v>
      </c>
      <c r="W22" s="611">
        <v>118272.81999999998</v>
      </c>
      <c r="X22" s="611"/>
      <c r="Y22" s="611">
        <v>883784.74</v>
      </c>
      <c r="Z22" s="611"/>
      <c r="AA22" s="611">
        <v>159205.06</v>
      </c>
      <c r="AB22" s="476">
        <f t="shared" si="0"/>
        <v>1783334.8000000014</v>
      </c>
      <c r="AC22" s="601"/>
      <c r="AD22" s="476">
        <v>419915.18000000151</v>
      </c>
      <c r="AE22" s="476"/>
      <c r="AF22" s="476">
        <f t="shared" si="1"/>
        <v>2255064.44</v>
      </c>
      <c r="AG22" s="537">
        <f t="shared" si="2"/>
        <v>891644.82</v>
      </c>
      <c r="AH22" s="474">
        <f t="shared" si="3"/>
        <v>1783334.8000000017</v>
      </c>
      <c r="AI22" s="591"/>
    </row>
    <row r="23" spans="1:35" x14ac:dyDescent="0.45">
      <c r="A23" s="691" t="s">
        <v>21</v>
      </c>
      <c r="B23" s="609">
        <v>7417304.1999999955</v>
      </c>
      <c r="C23" s="610"/>
      <c r="D23" s="609">
        <v>10419936.380000001</v>
      </c>
      <c r="E23" s="609">
        <v>2930971.8</v>
      </c>
      <c r="F23" s="609"/>
      <c r="G23" s="611">
        <v>3011739.91</v>
      </c>
      <c r="H23" s="609"/>
      <c r="I23" s="609">
        <v>2792892.06</v>
      </c>
      <c r="J23" s="609"/>
      <c r="K23" s="609">
        <v>2750239.98</v>
      </c>
      <c r="L23" s="609">
        <v>9138902.4100000001</v>
      </c>
      <c r="M23" s="609">
        <v>2809158.69</v>
      </c>
      <c r="N23" s="609"/>
      <c r="O23" s="612">
        <v>2910679.83</v>
      </c>
      <c r="P23" s="611"/>
      <c r="Q23" s="611">
        <v>4092053.54</v>
      </c>
      <c r="R23" s="611"/>
      <c r="S23" s="611">
        <v>3177132.8499999996</v>
      </c>
      <c r="T23" s="611">
        <v>11262970.560000001</v>
      </c>
      <c r="U23" s="611">
        <v>2894668.36</v>
      </c>
      <c r="V23" s="611">
        <f>4092053.54</f>
        <v>4092053.54</v>
      </c>
      <c r="W23" s="611">
        <v>5615417.6600000001</v>
      </c>
      <c r="X23" s="611"/>
      <c r="Y23" s="611">
        <v>3068753.4800000004</v>
      </c>
      <c r="Z23" s="611">
        <f>3177132.85+8383064.35</f>
        <v>11560197.199999999</v>
      </c>
      <c r="AA23" s="611">
        <v>3298198.71</v>
      </c>
      <c r="AB23" s="476">
        <f t="shared" si="0"/>
        <v>295150.97999999579</v>
      </c>
      <c r="AC23" s="601"/>
      <c r="AD23" s="476">
        <v>7417304.1999999955</v>
      </c>
      <c r="AE23" s="476"/>
      <c r="AF23" s="476">
        <f t="shared" si="1"/>
        <v>39351906.869999997</v>
      </c>
      <c r="AG23" s="537">
        <f t="shared" si="2"/>
        <v>46474060.090000004</v>
      </c>
      <c r="AH23" s="474">
        <f t="shared" si="3"/>
        <v>295150.97999998927</v>
      </c>
      <c r="AI23" s="591"/>
    </row>
    <row r="24" spans="1:35" x14ac:dyDescent="0.45">
      <c r="A24" s="691" t="s">
        <v>185</v>
      </c>
      <c r="B24" s="609">
        <v>511461.6700000033</v>
      </c>
      <c r="C24" s="610"/>
      <c r="D24" s="609"/>
      <c r="E24" s="609">
        <v>37279.56</v>
      </c>
      <c r="F24" s="609"/>
      <c r="G24" s="611">
        <v>10457.42</v>
      </c>
      <c r="H24" s="609">
        <v>62896.28</v>
      </c>
      <c r="I24" s="609">
        <v>9791</v>
      </c>
      <c r="J24" s="609">
        <f>10457.42</f>
        <v>10457.42</v>
      </c>
      <c r="K24" s="609">
        <v>9791</v>
      </c>
      <c r="L24" s="609">
        <v>19582</v>
      </c>
      <c r="M24" s="609">
        <v>27928.44</v>
      </c>
      <c r="N24" s="609">
        <f>27928.44</f>
        <v>27928.44</v>
      </c>
      <c r="O24" s="612">
        <v>30802.54</v>
      </c>
      <c r="P24" s="611">
        <f>30802.54</f>
        <v>30802.54</v>
      </c>
      <c r="Q24" s="611">
        <v>33160.78</v>
      </c>
      <c r="R24" s="611">
        <v>33160.78</v>
      </c>
      <c r="S24" s="611">
        <v>9791</v>
      </c>
      <c r="T24" s="611">
        <v>9791</v>
      </c>
      <c r="U24" s="611">
        <v>10459.58</v>
      </c>
      <c r="V24" s="611">
        <v>10459.58</v>
      </c>
      <c r="W24" s="611">
        <v>9791</v>
      </c>
      <c r="X24" s="611"/>
      <c r="Y24" s="611">
        <v>9791</v>
      </c>
      <c r="Z24" s="611">
        <f>9791</f>
        <v>9791</v>
      </c>
      <c r="AA24" s="611">
        <v>9791</v>
      </c>
      <c r="AB24" s="476">
        <f t="shared" si="0"/>
        <v>505426.95000000321</v>
      </c>
      <c r="AC24" s="601"/>
      <c r="AD24" s="476">
        <v>511461.6700000033</v>
      </c>
      <c r="AE24" s="476"/>
      <c r="AF24" s="476">
        <f t="shared" si="1"/>
        <v>208834.31999999998</v>
      </c>
      <c r="AG24" s="537">
        <f t="shared" si="2"/>
        <v>214869.03999999998</v>
      </c>
      <c r="AH24" s="474">
        <f t="shared" si="3"/>
        <v>505426.95000000327</v>
      </c>
      <c r="AI24" s="591"/>
    </row>
    <row r="25" spans="1:35" x14ac:dyDescent="0.45">
      <c r="A25" s="691" t="s">
        <v>89</v>
      </c>
      <c r="B25" s="609">
        <v>-4655.5600000000559</v>
      </c>
      <c r="C25" s="610"/>
      <c r="D25" s="609"/>
      <c r="E25" s="609">
        <v>0</v>
      </c>
      <c r="F25" s="609"/>
      <c r="G25" s="611">
        <v>0</v>
      </c>
      <c r="H25" s="609"/>
      <c r="I25" s="609">
        <v>0</v>
      </c>
      <c r="J25" s="609"/>
      <c r="K25" s="609">
        <v>0</v>
      </c>
      <c r="L25" s="609"/>
      <c r="M25" s="609">
        <v>0</v>
      </c>
      <c r="N25" s="609"/>
      <c r="O25" s="612">
        <v>0</v>
      </c>
      <c r="P25" s="611"/>
      <c r="Q25" s="611">
        <v>0</v>
      </c>
      <c r="R25" s="611"/>
      <c r="S25" s="611">
        <v>0</v>
      </c>
      <c r="T25" s="611"/>
      <c r="U25" s="611">
        <v>0</v>
      </c>
      <c r="V25" s="611"/>
      <c r="W25" s="611">
        <v>0</v>
      </c>
      <c r="X25" s="611"/>
      <c r="Y25" s="611">
        <v>0</v>
      </c>
      <c r="Z25" s="611"/>
      <c r="AA25" s="611">
        <v>0</v>
      </c>
      <c r="AB25" s="476">
        <f t="shared" si="0"/>
        <v>-4655.5600000000559</v>
      </c>
      <c r="AC25" s="601"/>
      <c r="AD25" s="476">
        <v>-4655.5600000000559</v>
      </c>
      <c r="AE25" s="476"/>
      <c r="AF25" s="476">
        <f t="shared" si="1"/>
        <v>0</v>
      </c>
      <c r="AG25" s="537">
        <f t="shared" si="2"/>
        <v>0</v>
      </c>
      <c r="AH25" s="474">
        <f t="shared" si="3"/>
        <v>-4655.5600000000559</v>
      </c>
      <c r="AI25" s="591"/>
    </row>
    <row r="26" spans="1:35" x14ac:dyDescent="0.45">
      <c r="A26" s="691" t="s">
        <v>308</v>
      </c>
      <c r="B26" s="609">
        <v>262908.30999999808</v>
      </c>
      <c r="C26" s="610"/>
      <c r="D26" s="609"/>
      <c r="E26" s="609">
        <v>718878.03</v>
      </c>
      <c r="F26" s="609"/>
      <c r="G26" s="611">
        <v>716054</v>
      </c>
      <c r="H26" s="609"/>
      <c r="I26" s="609">
        <v>761949.83</v>
      </c>
      <c r="J26" s="609">
        <f>989773.34</f>
        <v>989773.34</v>
      </c>
      <c r="K26" s="609">
        <v>995470.94</v>
      </c>
      <c r="L26" s="609">
        <v>1478003.83</v>
      </c>
      <c r="M26" s="609">
        <v>820532.39</v>
      </c>
      <c r="N26" s="609"/>
      <c r="O26" s="612">
        <v>831623.25999999989</v>
      </c>
      <c r="P26" s="611">
        <f>2647626.59</f>
        <v>2647626.59</v>
      </c>
      <c r="Q26" s="611">
        <v>1518176.4099999997</v>
      </c>
      <c r="R26" s="611"/>
      <c r="S26" s="575">
        <v>895302.75</v>
      </c>
      <c r="T26" s="611"/>
      <c r="U26" s="611">
        <v>859407.71000000008</v>
      </c>
      <c r="V26" s="611"/>
      <c r="W26" s="611">
        <v>838078.58000000007</v>
      </c>
      <c r="X26" s="611"/>
      <c r="Y26" s="611">
        <v>1170142.3999999999</v>
      </c>
      <c r="Z26" s="637">
        <f>1697486.29+895302.75+2688318.81</f>
        <v>5281107.8499999996</v>
      </c>
      <c r="AA26" s="611">
        <v>908032.72</v>
      </c>
      <c r="AB26" s="476">
        <f t="shared" si="0"/>
        <v>900045.71999999811</v>
      </c>
      <c r="AC26" s="601"/>
      <c r="AD26" s="476">
        <v>262908.30999999808</v>
      </c>
      <c r="AE26" s="476"/>
      <c r="AF26" s="476">
        <f t="shared" si="1"/>
        <v>11033649.02</v>
      </c>
      <c r="AG26" s="537">
        <f t="shared" si="2"/>
        <v>10396511.609999999</v>
      </c>
      <c r="AH26" s="474">
        <f t="shared" si="3"/>
        <v>900045.71999999881</v>
      </c>
      <c r="AI26" s="591"/>
    </row>
    <row r="27" spans="1:35" x14ac:dyDescent="0.45">
      <c r="A27" s="691" t="s">
        <v>85</v>
      </c>
      <c r="B27" s="609">
        <v>8552.9999999997672</v>
      </c>
      <c r="C27" s="610"/>
      <c r="D27" s="609"/>
      <c r="E27" s="609">
        <v>0</v>
      </c>
      <c r="F27" s="609"/>
      <c r="G27" s="611">
        <v>17106</v>
      </c>
      <c r="H27" s="609"/>
      <c r="I27" s="609">
        <v>8553</v>
      </c>
      <c r="J27" s="609"/>
      <c r="K27" s="611">
        <v>8553</v>
      </c>
      <c r="L27" s="609"/>
      <c r="M27" s="609">
        <v>8553</v>
      </c>
      <c r="N27" s="609"/>
      <c r="O27" s="612">
        <v>8553</v>
      </c>
      <c r="P27" s="611"/>
      <c r="Q27" s="611">
        <v>0</v>
      </c>
      <c r="R27" s="611"/>
      <c r="S27" s="611">
        <v>17106</v>
      </c>
      <c r="T27" s="611"/>
      <c r="U27" s="611">
        <v>8553</v>
      </c>
      <c r="V27" s="611"/>
      <c r="W27" s="611">
        <v>8553</v>
      </c>
      <c r="X27" s="611"/>
      <c r="Y27" s="611">
        <v>8553</v>
      </c>
      <c r="Z27" s="611"/>
      <c r="AA27" s="611">
        <v>8553</v>
      </c>
      <c r="AB27" s="476">
        <f t="shared" si="0"/>
        <v>111188.99999999977</v>
      </c>
      <c r="AC27" s="601"/>
      <c r="AD27" s="476">
        <v>8552.9999999997672</v>
      </c>
      <c r="AE27" s="476"/>
      <c r="AF27" s="476">
        <f t="shared" si="1"/>
        <v>102636</v>
      </c>
      <c r="AG27" s="537">
        <f t="shared" si="2"/>
        <v>0</v>
      </c>
      <c r="AH27" s="474">
        <f t="shared" si="3"/>
        <v>111188.99999999977</v>
      </c>
      <c r="AI27" s="591"/>
    </row>
    <row r="28" spans="1:35" x14ac:dyDescent="0.45">
      <c r="A28" s="691" t="s">
        <v>37</v>
      </c>
      <c r="B28" s="609">
        <v>2078772.4399999958</v>
      </c>
      <c r="C28" s="610"/>
      <c r="D28" s="609"/>
      <c r="E28" s="609">
        <v>402110.24</v>
      </c>
      <c r="F28" s="609"/>
      <c r="G28" s="611">
        <v>382222.2</v>
      </c>
      <c r="H28" s="609"/>
      <c r="I28" s="609">
        <v>417794.5</v>
      </c>
      <c r="J28" s="609">
        <f>523858.88</f>
        <v>523858.88</v>
      </c>
      <c r="K28" s="609">
        <v>401886.01</v>
      </c>
      <c r="L28" s="609"/>
      <c r="M28" s="609">
        <v>424140.36000000004</v>
      </c>
      <c r="N28" s="609"/>
      <c r="O28" s="612">
        <v>476511.73</v>
      </c>
      <c r="P28" s="611"/>
      <c r="Q28" s="611">
        <v>495994.97</v>
      </c>
      <c r="R28" s="611">
        <v>900652.7</v>
      </c>
      <c r="S28" s="611">
        <v>574733.09</v>
      </c>
      <c r="T28" s="611">
        <v>2100007.92</v>
      </c>
      <c r="U28" s="611">
        <v>644108.81000000006</v>
      </c>
      <c r="V28" s="611">
        <v>574733.09</v>
      </c>
      <c r="W28" s="611">
        <v>453826.05000000005</v>
      </c>
      <c r="X28" s="611"/>
      <c r="Y28" s="611">
        <v>513837.04000000004</v>
      </c>
      <c r="Z28" s="611">
        <f>644108.81+453826.05+513837.04</f>
        <v>1611771.9000000001</v>
      </c>
      <c r="AA28" s="611">
        <v>605857.14</v>
      </c>
      <c r="AB28" s="476">
        <f t="shared" si="0"/>
        <v>2160770.0899999957</v>
      </c>
      <c r="AC28" s="601"/>
      <c r="AD28" s="476">
        <v>2078772.4399999958</v>
      </c>
      <c r="AE28" s="476"/>
      <c r="AF28" s="476">
        <f t="shared" si="1"/>
        <v>5793022.1399999997</v>
      </c>
      <c r="AG28" s="537">
        <f t="shared" si="2"/>
        <v>5711024.4900000002</v>
      </c>
      <c r="AH28" s="474">
        <f t="shared" si="3"/>
        <v>2160770.0899999952</v>
      </c>
      <c r="AI28" s="591"/>
    </row>
    <row r="29" spans="1:35" x14ac:dyDescent="0.45">
      <c r="A29" s="691" t="s">
        <v>28</v>
      </c>
      <c r="B29" s="609">
        <v>218693.23000000138</v>
      </c>
      <c r="C29" s="610"/>
      <c r="D29" s="609"/>
      <c r="E29" s="609">
        <v>48964.840000000004</v>
      </c>
      <c r="F29" s="609"/>
      <c r="G29" s="614">
        <v>37078.040000000008</v>
      </c>
      <c r="H29" s="609"/>
      <c r="I29" s="609">
        <v>37236.65</v>
      </c>
      <c r="J29" s="609"/>
      <c r="K29" s="609">
        <v>38631.040000000001</v>
      </c>
      <c r="L29" s="609"/>
      <c r="M29" s="609">
        <v>39122.149999999994</v>
      </c>
      <c r="N29" s="609"/>
      <c r="O29" s="612">
        <v>31654.04</v>
      </c>
      <c r="P29" s="611"/>
      <c r="Q29" s="648">
        <v>55333.599999999999</v>
      </c>
      <c r="R29" s="611"/>
      <c r="S29" s="611">
        <v>82471.72</v>
      </c>
      <c r="T29" s="611"/>
      <c r="U29" s="611">
        <v>51087.62</v>
      </c>
      <c r="V29" s="611"/>
      <c r="W29" s="611">
        <v>20040.259999999998</v>
      </c>
      <c r="X29" s="611">
        <f>332522.39+421970.6</f>
        <v>754492.99</v>
      </c>
      <c r="Y29" s="611">
        <v>141066.26000000004</v>
      </c>
      <c r="Z29" s="611">
        <f>156574.92+1139.26+29382.26+64047+60367.26</f>
        <v>311510.7</v>
      </c>
      <c r="AA29" s="611">
        <v>16247.850000000004</v>
      </c>
      <c r="AB29" s="476">
        <f t="shared" si="0"/>
        <v>-248376.38999999859</v>
      </c>
      <c r="AC29" s="601"/>
      <c r="AD29" s="476">
        <v>218693.23000000138</v>
      </c>
      <c r="AE29" s="476"/>
      <c r="AF29" s="476">
        <f t="shared" si="1"/>
        <v>598934.06999999995</v>
      </c>
      <c r="AG29" s="537">
        <f t="shared" si="2"/>
        <v>1066003.69</v>
      </c>
      <c r="AH29" s="474">
        <f t="shared" si="3"/>
        <v>-248376.38999999862</v>
      </c>
      <c r="AI29" s="591"/>
    </row>
    <row r="30" spans="1:35" x14ac:dyDescent="0.45">
      <c r="A30" s="691" t="s">
        <v>91</v>
      </c>
      <c r="B30" s="609">
        <v>-501.40999999968335</v>
      </c>
      <c r="C30" s="610"/>
      <c r="D30" s="609"/>
      <c r="E30" s="609">
        <v>0</v>
      </c>
      <c r="F30" s="609"/>
      <c r="G30" s="611">
        <v>0</v>
      </c>
      <c r="H30" s="609"/>
      <c r="I30" s="609">
        <v>0</v>
      </c>
      <c r="J30" s="609"/>
      <c r="K30" s="609">
        <v>0</v>
      </c>
      <c r="L30" s="609"/>
      <c r="M30" s="609">
        <v>0</v>
      </c>
      <c r="N30" s="609"/>
      <c r="O30" s="612">
        <v>0</v>
      </c>
      <c r="P30" s="611"/>
      <c r="Q30" s="611">
        <v>0</v>
      </c>
      <c r="R30" s="611"/>
      <c r="S30" s="611">
        <v>0</v>
      </c>
      <c r="T30" s="611"/>
      <c r="U30" s="611">
        <v>0</v>
      </c>
      <c r="V30" s="611"/>
      <c r="W30" s="611">
        <v>0</v>
      </c>
      <c r="X30" s="611"/>
      <c r="Y30" s="611">
        <v>0</v>
      </c>
      <c r="Z30" s="611"/>
      <c r="AA30" s="611">
        <v>0</v>
      </c>
      <c r="AB30" s="476">
        <f t="shared" si="0"/>
        <v>-501.40999999968335</v>
      </c>
      <c r="AC30" s="601"/>
      <c r="AD30" s="476">
        <v>-501.40999999968335</v>
      </c>
      <c r="AE30" s="476"/>
      <c r="AF30" s="476">
        <f t="shared" si="1"/>
        <v>0</v>
      </c>
      <c r="AG30" s="537">
        <f t="shared" si="2"/>
        <v>0</v>
      </c>
      <c r="AH30" s="474">
        <f t="shared" si="3"/>
        <v>-501.40999999968335</v>
      </c>
      <c r="AI30" s="591"/>
    </row>
    <row r="31" spans="1:35" x14ac:dyDescent="0.45">
      <c r="A31" s="691" t="s">
        <v>57</v>
      </c>
      <c r="B31" s="609">
        <v>3028947.4500000007</v>
      </c>
      <c r="C31" s="610"/>
      <c r="D31" s="609">
        <v>1541792.32</v>
      </c>
      <c r="E31" s="611">
        <v>1534572.97</v>
      </c>
      <c r="F31" s="609">
        <v>1487155.22</v>
      </c>
      <c r="G31" s="611">
        <v>1445439</v>
      </c>
      <c r="H31" s="609">
        <f>1534572.97</f>
        <v>1534572.97</v>
      </c>
      <c r="I31" s="609">
        <v>1371980.68</v>
      </c>
      <c r="J31" s="609">
        <v>1445439</v>
      </c>
      <c r="K31" s="611">
        <v>1268087.47</v>
      </c>
      <c r="L31" s="609">
        <v>1371980.68</v>
      </c>
      <c r="M31" s="609">
        <v>1446611.43</v>
      </c>
      <c r="N31" s="609">
        <f>1268087.47</f>
        <v>1268087.47</v>
      </c>
      <c r="O31" s="612">
        <v>1368073.5900000003</v>
      </c>
      <c r="P31" s="611">
        <f>1446611.43+1368073.59</f>
        <v>2814685.02</v>
      </c>
      <c r="Q31" s="611">
        <v>1394649.06</v>
      </c>
      <c r="R31" s="611">
        <v>1394649.06</v>
      </c>
      <c r="S31" s="611">
        <v>1330456.47</v>
      </c>
      <c r="T31" s="611">
        <v>1330456.47</v>
      </c>
      <c r="U31" s="611">
        <v>1302794.9699999997</v>
      </c>
      <c r="V31" s="611">
        <v>1302794.97</v>
      </c>
      <c r="W31" s="611">
        <v>1174345.9300000002</v>
      </c>
      <c r="X31" s="611">
        <f>1174345.93</f>
        <v>1174345.93</v>
      </c>
      <c r="Y31" s="611">
        <v>1329487.04</v>
      </c>
      <c r="Z31" s="637">
        <v>1329487.04</v>
      </c>
      <c r="AA31" s="611">
        <v>1320599.0900000001</v>
      </c>
      <c r="AB31" s="476">
        <f t="shared" si="0"/>
        <v>1320599.0000000007</v>
      </c>
      <c r="AC31" s="601"/>
      <c r="AD31" s="476">
        <v>3028947.4500000007</v>
      </c>
      <c r="AE31" s="476"/>
      <c r="AF31" s="476">
        <f t="shared" si="1"/>
        <v>16287097.699999999</v>
      </c>
      <c r="AG31" s="537">
        <f t="shared" si="2"/>
        <v>17995446.150000002</v>
      </c>
      <c r="AH31" s="474">
        <f t="shared" si="3"/>
        <v>1320598.9999999963</v>
      </c>
      <c r="AI31" s="591"/>
    </row>
    <row r="32" spans="1:35" x14ac:dyDescent="0.45">
      <c r="A32" s="691" t="s">
        <v>65</v>
      </c>
      <c r="B32" s="609">
        <v>78423.579999999725</v>
      </c>
      <c r="C32" s="610"/>
      <c r="D32" s="609"/>
      <c r="E32" s="609">
        <v>64829.55</v>
      </c>
      <c r="F32" s="609">
        <v>143253.13</v>
      </c>
      <c r="G32" s="611">
        <v>64551.4</v>
      </c>
      <c r="H32" s="609">
        <f>64551.4</f>
        <v>64551.4</v>
      </c>
      <c r="I32" s="609">
        <v>67589.17</v>
      </c>
      <c r="J32" s="609">
        <f>67589.17</f>
        <v>67589.17</v>
      </c>
      <c r="K32" s="609">
        <v>67098.240000000005</v>
      </c>
      <c r="L32" s="609">
        <v>67098.240000000005</v>
      </c>
      <c r="M32" s="609">
        <v>66676.240000000005</v>
      </c>
      <c r="N32" s="609">
        <v>66676.240000000005</v>
      </c>
      <c r="O32" s="612">
        <v>66783.13</v>
      </c>
      <c r="P32" s="611">
        <f>66783.13</f>
        <v>66783.13</v>
      </c>
      <c r="Q32" s="611">
        <v>149104.29999999999</v>
      </c>
      <c r="R32" s="611">
        <v>149104.29999999999</v>
      </c>
      <c r="S32" s="611">
        <v>74017.47</v>
      </c>
      <c r="T32" s="611">
        <v>74017.47</v>
      </c>
      <c r="U32" s="611">
        <v>79003.790000000008</v>
      </c>
      <c r="V32" s="611"/>
      <c r="W32" s="611">
        <v>64738.42</v>
      </c>
      <c r="X32" s="611">
        <f>79003.79+64738.42</f>
        <v>143742.21</v>
      </c>
      <c r="Y32" s="611">
        <v>80749.2</v>
      </c>
      <c r="Z32" s="637">
        <v>80749.2</v>
      </c>
      <c r="AA32" s="611">
        <v>74364.100000000006</v>
      </c>
      <c r="AB32" s="476">
        <f t="shared" si="0"/>
        <v>74364.099999999744</v>
      </c>
      <c r="AC32" s="601"/>
      <c r="AD32" s="476">
        <v>78423.579999999725</v>
      </c>
      <c r="AE32" s="476"/>
      <c r="AF32" s="476">
        <f t="shared" si="1"/>
        <v>919505.01</v>
      </c>
      <c r="AG32" s="537">
        <f t="shared" si="2"/>
        <v>923564.48999999987</v>
      </c>
      <c r="AH32" s="474">
        <f t="shared" si="3"/>
        <v>74364.09999999986</v>
      </c>
      <c r="AI32" s="591"/>
    </row>
    <row r="33" spans="1:35" x14ac:dyDescent="0.45">
      <c r="A33" s="691" t="s">
        <v>335</v>
      </c>
      <c r="B33" s="609">
        <v>1899324.0400000073</v>
      </c>
      <c r="C33" s="610"/>
      <c r="D33" s="609"/>
      <c r="E33" s="609">
        <v>1786472.3599999999</v>
      </c>
      <c r="F33" s="609"/>
      <c r="G33" s="611">
        <v>1694902.1999999997</v>
      </c>
      <c r="H33" s="609">
        <f>1896323.4</f>
        <v>1896323.4</v>
      </c>
      <c r="I33" s="609">
        <v>1700493.37</v>
      </c>
      <c r="J33" s="609">
        <f>1694902.2+1786472.36</f>
        <v>3481374.56</v>
      </c>
      <c r="K33" s="609">
        <v>1724334.31</v>
      </c>
      <c r="L33" s="609"/>
      <c r="M33" s="611">
        <v>1903790.5300000003</v>
      </c>
      <c r="N33" s="609"/>
      <c r="O33" s="612">
        <v>1961811.79</v>
      </c>
      <c r="P33" s="611"/>
      <c r="Q33" s="611">
        <v>3127087.6500000004</v>
      </c>
      <c r="R33" s="611">
        <v>5328618.21</v>
      </c>
      <c r="S33" s="611">
        <v>2077921.54</v>
      </c>
      <c r="T33" s="611">
        <v>7166820.9800000004</v>
      </c>
      <c r="U33" s="611">
        <v>2071133.76</v>
      </c>
      <c r="V33" s="611"/>
      <c r="W33" s="611">
        <v>1902312.65</v>
      </c>
      <c r="X33" s="611">
        <f>2071133.76</f>
        <v>2071133.76</v>
      </c>
      <c r="Y33" s="614">
        <v>1967373.5700000003</v>
      </c>
      <c r="Z33" s="611">
        <v>3869686.2199999997</v>
      </c>
      <c r="AA33" s="611">
        <v>1942796.21</v>
      </c>
      <c r="AB33" s="476">
        <f t="shared" si="0"/>
        <v>1945796.8500000089</v>
      </c>
      <c r="AC33" s="601"/>
      <c r="AD33" s="476">
        <v>1899324.0400000073</v>
      </c>
      <c r="AE33" s="476"/>
      <c r="AF33" s="476">
        <f t="shared" si="1"/>
        <v>23860429.940000001</v>
      </c>
      <c r="AG33" s="537">
        <f t="shared" si="2"/>
        <v>23813957.129999999</v>
      </c>
      <c r="AH33" s="474">
        <f t="shared" si="3"/>
        <v>1945796.8500000089</v>
      </c>
      <c r="AI33" s="591"/>
    </row>
    <row r="34" spans="1:35" x14ac:dyDescent="0.45">
      <c r="A34" s="691" t="s">
        <v>186</v>
      </c>
      <c r="B34" s="609">
        <v>130403.04000000094</v>
      </c>
      <c r="C34" s="610"/>
      <c r="D34" s="609"/>
      <c r="E34" s="609">
        <v>65036.74</v>
      </c>
      <c r="F34" s="609"/>
      <c r="G34" s="611">
        <v>67643.320000000007</v>
      </c>
      <c r="H34" s="609">
        <f>65036.74</f>
        <v>65036.74</v>
      </c>
      <c r="I34" s="609">
        <v>65125.93</v>
      </c>
      <c r="J34" s="609">
        <f>67643.32+65125.93</f>
        <v>132769.25</v>
      </c>
      <c r="K34" s="609">
        <v>64832.28</v>
      </c>
      <c r="L34" s="609"/>
      <c r="M34" s="609">
        <v>67484.600000000006</v>
      </c>
      <c r="N34" s="609">
        <f>64832.28+67484.6</f>
        <v>132316.88</v>
      </c>
      <c r="O34" s="612">
        <v>68775.850000000006</v>
      </c>
      <c r="P34" s="611">
        <f>68775.85</f>
        <v>68775.850000000006</v>
      </c>
      <c r="Q34" s="611">
        <v>116161.15000000001</v>
      </c>
      <c r="R34" s="611">
        <v>63423.15</v>
      </c>
      <c r="S34" s="611">
        <v>16596.149999999994</v>
      </c>
      <c r="T34" s="611"/>
      <c r="U34" s="611">
        <v>65283.900000000009</v>
      </c>
      <c r="V34" s="611">
        <v>65283.9</v>
      </c>
      <c r="W34" s="611">
        <v>62100.06</v>
      </c>
      <c r="X34" s="611">
        <v>78696.210000000006</v>
      </c>
      <c r="Y34" s="611">
        <v>275078.77</v>
      </c>
      <c r="Z34" s="611"/>
      <c r="AA34" s="611">
        <v>88016.66</v>
      </c>
      <c r="AB34" s="476">
        <f t="shared" si="0"/>
        <v>546236.47000000102</v>
      </c>
      <c r="AC34" s="601"/>
      <c r="AD34" s="476">
        <v>130403.04000000094</v>
      </c>
      <c r="AE34" s="476"/>
      <c r="AF34" s="476">
        <f t="shared" si="1"/>
        <v>1022135.41</v>
      </c>
      <c r="AG34" s="537">
        <f t="shared" si="2"/>
        <v>606301.98</v>
      </c>
      <c r="AH34" s="474">
        <f t="shared" si="3"/>
        <v>546236.4700000009</v>
      </c>
      <c r="AI34" s="591"/>
    </row>
    <row r="35" spans="1:35" x14ac:dyDescent="0.45">
      <c r="A35" s="691" t="s">
        <v>39</v>
      </c>
      <c r="B35" s="609">
        <v>857401.22000000032</v>
      </c>
      <c r="C35" s="610"/>
      <c r="D35" s="609"/>
      <c r="E35" s="614">
        <v>407704.25</v>
      </c>
      <c r="F35" s="609">
        <f>476345.61</f>
        <v>476345.61</v>
      </c>
      <c r="G35" s="611">
        <v>359840.69</v>
      </c>
      <c r="H35" s="609"/>
      <c r="I35" s="615">
        <v>383225.06999999995</v>
      </c>
      <c r="J35" s="609">
        <f>407704.25+452864.76+359840.69</f>
        <v>1220409.7</v>
      </c>
      <c r="K35" s="609">
        <v>409375.93</v>
      </c>
      <c r="L35" s="609">
        <v>383225.07</v>
      </c>
      <c r="M35" s="609">
        <v>443542.05999999994</v>
      </c>
      <c r="N35" s="609">
        <v>409375.93</v>
      </c>
      <c r="O35" s="612">
        <v>419933.77999999997</v>
      </c>
      <c r="P35" s="611">
        <f>443542.06</f>
        <v>443542.06</v>
      </c>
      <c r="Q35" s="611">
        <v>398356.78</v>
      </c>
      <c r="R35" s="611">
        <v>419933.78</v>
      </c>
      <c r="S35" s="575">
        <v>406757.14</v>
      </c>
      <c r="T35" s="611"/>
      <c r="U35" s="611">
        <v>475550.08999999997</v>
      </c>
      <c r="V35" s="611"/>
      <c r="W35" s="611">
        <v>379855.88999999996</v>
      </c>
      <c r="X35" s="611">
        <f>406757.14+379855.89</f>
        <v>786613.03</v>
      </c>
      <c r="Y35" s="611">
        <v>475720.83</v>
      </c>
      <c r="Z35" s="611">
        <v>475550.09</v>
      </c>
      <c r="AA35" s="611">
        <v>432935.13</v>
      </c>
      <c r="AB35" s="476">
        <f t="shared" si="0"/>
        <v>1235203.5899999999</v>
      </c>
      <c r="AC35" s="601"/>
      <c r="AD35" s="476">
        <v>857401.22000000032</v>
      </c>
      <c r="AE35" s="476"/>
      <c r="AF35" s="476">
        <f t="shared" si="1"/>
        <v>4992797.6399999997</v>
      </c>
      <c r="AG35" s="537">
        <f t="shared" si="2"/>
        <v>4614995.2700000005</v>
      </c>
      <c r="AH35" s="474">
        <f t="shared" si="3"/>
        <v>1235203.5899999999</v>
      </c>
      <c r="AI35" s="591"/>
    </row>
    <row r="36" spans="1:35" x14ac:dyDescent="0.45">
      <c r="A36" s="691" t="s">
        <v>73</v>
      </c>
      <c r="B36" s="609">
        <v>1215727.6800000002</v>
      </c>
      <c r="C36" s="610"/>
      <c r="D36" s="609"/>
      <c r="E36" s="615">
        <v>276856.73</v>
      </c>
      <c r="F36" s="615"/>
      <c r="G36" s="616">
        <v>302617.82</v>
      </c>
      <c r="H36" s="615">
        <f>276856.63+339271.89+302617.82</f>
        <v>918746.34000000008</v>
      </c>
      <c r="I36" s="615">
        <v>296884.65999999997</v>
      </c>
      <c r="J36" s="615">
        <f>296884.66</f>
        <v>296884.65999999997</v>
      </c>
      <c r="K36" s="617">
        <v>308277.92</v>
      </c>
      <c r="L36" s="617"/>
      <c r="M36" s="617">
        <v>318063.32</v>
      </c>
      <c r="N36" s="617">
        <v>308277.92</v>
      </c>
      <c r="O36" s="612">
        <v>326766.34999999998</v>
      </c>
      <c r="P36" s="611"/>
      <c r="Q36" s="611">
        <v>127405.92000000001</v>
      </c>
      <c r="R36" s="611">
        <v>644829.66999999993</v>
      </c>
      <c r="S36" s="611">
        <v>433861.2</v>
      </c>
      <c r="T36" s="611">
        <v>127405.92000000001</v>
      </c>
      <c r="U36" s="611">
        <v>256870.97999999998</v>
      </c>
      <c r="V36" s="611">
        <f>433861.2+256870.98</f>
        <v>690732.18</v>
      </c>
      <c r="W36" s="611">
        <v>233623.78999999998</v>
      </c>
      <c r="X36" s="611"/>
      <c r="Y36" s="611">
        <v>492828.03</v>
      </c>
      <c r="Z36" s="637">
        <f>233623.79+492828.03</f>
        <v>726451.82000000007</v>
      </c>
      <c r="AA36" s="611">
        <v>240022.17</v>
      </c>
      <c r="AB36" s="476">
        <f t="shared" si="0"/>
        <v>1116478.0599999998</v>
      </c>
      <c r="AC36" s="601"/>
      <c r="AD36" s="476">
        <v>1215727.6800000002</v>
      </c>
      <c r="AE36" s="476"/>
      <c r="AF36" s="476">
        <f t="shared" si="1"/>
        <v>3614078.8899999997</v>
      </c>
      <c r="AG36" s="537">
        <f t="shared" si="2"/>
        <v>3713328.51</v>
      </c>
      <c r="AH36" s="474">
        <f t="shared" si="3"/>
        <v>1116478.0600000005</v>
      </c>
      <c r="AI36" s="591"/>
    </row>
    <row r="37" spans="1:35" x14ac:dyDescent="0.45">
      <c r="A37" s="691" t="s">
        <v>44</v>
      </c>
      <c r="B37" s="609">
        <v>16268.819999999418</v>
      </c>
      <c r="C37" s="610"/>
      <c r="D37" s="609"/>
      <c r="E37" s="615">
        <v>0</v>
      </c>
      <c r="F37" s="615"/>
      <c r="G37" s="616">
        <v>0</v>
      </c>
      <c r="H37" s="615"/>
      <c r="I37" s="615">
        <v>0</v>
      </c>
      <c r="J37" s="615"/>
      <c r="K37" s="617">
        <v>0</v>
      </c>
      <c r="L37" s="617"/>
      <c r="M37" s="617">
        <v>0</v>
      </c>
      <c r="N37" s="617"/>
      <c r="O37" s="612">
        <v>0</v>
      </c>
      <c r="P37" s="611"/>
      <c r="Q37" s="611">
        <v>0</v>
      </c>
      <c r="R37" s="611"/>
      <c r="S37" s="611">
        <v>0</v>
      </c>
      <c r="T37" s="611"/>
      <c r="U37" s="611">
        <v>0</v>
      </c>
      <c r="V37" s="611"/>
      <c r="W37" s="611">
        <v>0</v>
      </c>
      <c r="X37" s="611"/>
      <c r="Y37" s="611">
        <v>0</v>
      </c>
      <c r="Z37" s="611"/>
      <c r="AA37" s="611">
        <v>0</v>
      </c>
      <c r="AB37" s="476">
        <f t="shared" si="0"/>
        <v>16268.819999999418</v>
      </c>
      <c r="AC37" s="601"/>
      <c r="AD37" s="476">
        <v>16268.819999999418</v>
      </c>
      <c r="AE37" s="476"/>
      <c r="AF37" s="476">
        <f t="shared" si="1"/>
        <v>0</v>
      </c>
      <c r="AG37" s="537">
        <f t="shared" si="2"/>
        <v>0</v>
      </c>
      <c r="AH37" s="474">
        <f t="shared" si="3"/>
        <v>16268.819999999418</v>
      </c>
      <c r="AI37" s="591"/>
    </row>
    <row r="38" spans="1:35" x14ac:dyDescent="0.45">
      <c r="A38" s="691" t="s">
        <v>42</v>
      </c>
      <c r="B38" s="609">
        <v>581274.38000000094</v>
      </c>
      <c r="C38" s="610"/>
      <c r="D38" s="609"/>
      <c r="E38" s="615">
        <v>492022.42</v>
      </c>
      <c r="F38" s="615"/>
      <c r="G38" s="616">
        <v>481663.29</v>
      </c>
      <c r="H38" s="615"/>
      <c r="I38" s="615">
        <v>498151.65</v>
      </c>
      <c r="J38" s="615">
        <f>581274.38</f>
        <v>581274.38</v>
      </c>
      <c r="K38" s="617">
        <v>504309.85</v>
      </c>
      <c r="L38" s="617">
        <v>973685.71</v>
      </c>
      <c r="M38" s="617">
        <v>530394.32000000007</v>
      </c>
      <c r="N38" s="617">
        <f>498151.65</f>
        <v>498151.65</v>
      </c>
      <c r="O38" s="612">
        <v>488304.49</v>
      </c>
      <c r="P38" s="611">
        <f>504309.85</f>
        <v>504309.85</v>
      </c>
      <c r="Q38" s="611">
        <v>364610.62</v>
      </c>
      <c r="R38" s="611">
        <v>1018698.8099999999</v>
      </c>
      <c r="S38" s="611">
        <v>90814.619999999981</v>
      </c>
      <c r="T38" s="611"/>
      <c r="U38" s="611">
        <v>410142.18</v>
      </c>
      <c r="V38" s="611">
        <f>364610.62</f>
        <v>364610.62</v>
      </c>
      <c r="W38" s="611">
        <v>343661.04</v>
      </c>
      <c r="X38" s="611">
        <f>410142.18</f>
        <v>410142.18</v>
      </c>
      <c r="Y38" s="611">
        <v>1153631.3599999999</v>
      </c>
      <c r="Z38" s="611">
        <f>90814.62+343661.05+1153631.36</f>
        <v>1588107.03</v>
      </c>
      <c r="AA38" s="611">
        <v>501439.8</v>
      </c>
      <c r="AB38" s="476">
        <f t="shared" si="0"/>
        <v>501439.79000000138</v>
      </c>
      <c r="AC38" s="601"/>
      <c r="AD38" s="476">
        <v>581274.38000000094</v>
      </c>
      <c r="AE38" s="476"/>
      <c r="AF38" s="476">
        <f t="shared" ref="AF38:AF69" si="4">E38+G38+I38+K38+M38+O38+Q38+S38+U38+W38+Y38+AA38</f>
        <v>5859145.6399999997</v>
      </c>
      <c r="AG38" s="537">
        <f t="shared" ref="AG38:AG69" si="5">D38+F38+H38+J38+L38+N38+P38+R38+T38+V38+X38+Z38</f>
        <v>5938980.2300000004</v>
      </c>
      <c r="AH38" s="474">
        <f t="shared" si="3"/>
        <v>501439.79000000004</v>
      </c>
      <c r="AI38" s="591"/>
    </row>
    <row r="39" spans="1:35" x14ac:dyDescent="0.45">
      <c r="A39" s="691" t="s">
        <v>63</v>
      </c>
      <c r="B39" s="609">
        <v>-4925.8499999995111</v>
      </c>
      <c r="C39" s="610"/>
      <c r="D39" s="609"/>
      <c r="E39" s="615">
        <v>0</v>
      </c>
      <c r="F39" s="615"/>
      <c r="G39" s="616">
        <v>0</v>
      </c>
      <c r="H39" s="615"/>
      <c r="I39" s="615">
        <v>0</v>
      </c>
      <c r="J39" s="615"/>
      <c r="K39" s="617">
        <v>0</v>
      </c>
      <c r="L39" s="617"/>
      <c r="M39" s="617">
        <v>0</v>
      </c>
      <c r="N39" s="617"/>
      <c r="O39" s="612">
        <v>0</v>
      </c>
      <c r="P39" s="611"/>
      <c r="Q39" s="611">
        <v>0</v>
      </c>
      <c r="R39" s="611"/>
      <c r="S39" s="611">
        <v>0</v>
      </c>
      <c r="T39" s="611"/>
      <c r="U39" s="611">
        <v>0</v>
      </c>
      <c r="V39" s="611"/>
      <c r="W39" s="611">
        <v>0</v>
      </c>
      <c r="X39" s="611"/>
      <c r="Y39" s="611">
        <v>0</v>
      </c>
      <c r="Z39" s="611"/>
      <c r="AA39" s="611"/>
      <c r="AB39" s="476">
        <f t="shared" si="0"/>
        <v>-4925.8499999995111</v>
      </c>
      <c r="AC39" s="601"/>
      <c r="AD39" s="476">
        <v>-4925.8499999995111</v>
      </c>
      <c r="AE39" s="476"/>
      <c r="AF39" s="476">
        <f t="shared" si="4"/>
        <v>0</v>
      </c>
      <c r="AG39" s="537">
        <f t="shared" si="5"/>
        <v>0</v>
      </c>
      <c r="AH39" s="474">
        <f t="shared" si="3"/>
        <v>-4925.8499999995111</v>
      </c>
      <c r="AI39" s="591"/>
    </row>
    <row r="40" spans="1:35" x14ac:dyDescent="0.45">
      <c r="A40" s="691" t="s">
        <v>60</v>
      </c>
      <c r="B40" s="609">
        <v>1251564.2490000015</v>
      </c>
      <c r="C40" s="610"/>
      <c r="D40" s="609">
        <v>905673.88</v>
      </c>
      <c r="E40" s="615">
        <v>827046.42999999993</v>
      </c>
      <c r="F40" s="615">
        <v>1729759.12</v>
      </c>
      <c r="G40" s="616">
        <v>801952.86</v>
      </c>
      <c r="H40" s="615"/>
      <c r="I40" s="615">
        <v>811363.75000000012</v>
      </c>
      <c r="J40" s="615">
        <f>801952.86+811363.75</f>
        <v>1613316.6099999999</v>
      </c>
      <c r="K40" s="617">
        <v>755518.78</v>
      </c>
      <c r="L40" s="617"/>
      <c r="M40" s="617">
        <v>786090.93</v>
      </c>
      <c r="N40" s="617"/>
      <c r="O40" s="612">
        <v>796851.05999999994</v>
      </c>
      <c r="P40" s="611">
        <v>1541609.71</v>
      </c>
      <c r="Q40" s="611">
        <v>804254.5</v>
      </c>
      <c r="R40" s="611">
        <v>796851.06</v>
      </c>
      <c r="S40" s="611">
        <v>762474.09</v>
      </c>
      <c r="T40" s="611">
        <v>804254.5</v>
      </c>
      <c r="U40" s="611">
        <v>662832.19999999995</v>
      </c>
      <c r="V40" s="611">
        <v>762474.09</v>
      </c>
      <c r="W40" s="611">
        <v>610501.86</v>
      </c>
      <c r="X40" s="611">
        <f>662832.2+610501.86</f>
        <v>1273334.06</v>
      </c>
      <c r="Y40" s="618">
        <v>1433267.82</v>
      </c>
      <c r="Z40" s="611">
        <v>1433267.82</v>
      </c>
      <c r="AA40" s="611">
        <v>850362.76</v>
      </c>
      <c r="AB40" s="476">
        <f t="shared" si="0"/>
        <v>293540.43900000153</v>
      </c>
      <c r="AC40" s="601"/>
      <c r="AD40" s="476">
        <v>1251564.2490000015</v>
      </c>
      <c r="AE40" s="476"/>
      <c r="AF40" s="476">
        <f t="shared" si="4"/>
        <v>9902517.040000001</v>
      </c>
      <c r="AG40" s="537">
        <f t="shared" si="5"/>
        <v>10860540.85</v>
      </c>
      <c r="AH40" s="474">
        <f t="shared" si="3"/>
        <v>293540.43900000304</v>
      </c>
      <c r="AI40" s="591"/>
    </row>
    <row r="41" spans="1:35" x14ac:dyDescent="0.45">
      <c r="A41" s="691" t="s">
        <v>71</v>
      </c>
      <c r="B41" s="609">
        <v>209802.18999999951</v>
      </c>
      <c r="C41" s="610"/>
      <c r="D41" s="609"/>
      <c r="E41" s="615">
        <v>29799</v>
      </c>
      <c r="F41" s="615"/>
      <c r="G41" s="616">
        <v>29799</v>
      </c>
      <c r="H41" s="615"/>
      <c r="I41" s="615">
        <v>31254.45</v>
      </c>
      <c r="J41" s="615"/>
      <c r="K41" s="617">
        <v>32833.35</v>
      </c>
      <c r="L41" s="617">
        <v>125889.75</v>
      </c>
      <c r="M41" s="617">
        <v>36126.33</v>
      </c>
      <c r="N41" s="617"/>
      <c r="O41" s="612">
        <v>34851.300000000003</v>
      </c>
      <c r="P41" s="611"/>
      <c r="Q41" s="611">
        <v>22081.210000000003</v>
      </c>
      <c r="R41" s="611"/>
      <c r="S41" s="611">
        <v>483043.89</v>
      </c>
      <c r="T41" s="611"/>
      <c r="U41" s="611">
        <v>128021.46</v>
      </c>
      <c r="V41" s="611"/>
      <c r="W41" s="611">
        <v>152852.73000000001</v>
      </c>
      <c r="X41" s="611"/>
      <c r="Y41" s="611">
        <v>137495.19999999998</v>
      </c>
      <c r="Z41" s="611"/>
      <c r="AA41" s="611">
        <v>192689.71</v>
      </c>
      <c r="AB41" s="476">
        <f t="shared" si="0"/>
        <v>1394760.0699999994</v>
      </c>
      <c r="AC41" s="601"/>
      <c r="AD41" s="476">
        <v>209802.18999999951</v>
      </c>
      <c r="AE41" s="476"/>
      <c r="AF41" s="476">
        <f t="shared" si="4"/>
        <v>1310847.6299999999</v>
      </c>
      <c r="AG41" s="537">
        <f t="shared" si="5"/>
        <v>125889.75</v>
      </c>
      <c r="AH41" s="474">
        <f t="shared" si="3"/>
        <v>1394760.0699999994</v>
      </c>
      <c r="AI41" s="591"/>
    </row>
    <row r="42" spans="1:35" x14ac:dyDescent="0.45">
      <c r="A42" s="691" t="s">
        <v>88</v>
      </c>
      <c r="B42" s="609">
        <v>0</v>
      </c>
      <c r="C42" s="610"/>
      <c r="D42" s="609"/>
      <c r="E42" s="615">
        <v>0</v>
      </c>
      <c r="F42" s="615"/>
      <c r="G42" s="616">
        <v>0</v>
      </c>
      <c r="H42" s="615"/>
      <c r="I42" s="615">
        <v>0</v>
      </c>
      <c r="J42" s="615"/>
      <c r="K42" s="617">
        <v>0</v>
      </c>
      <c r="L42" s="617"/>
      <c r="M42" s="617">
        <v>0</v>
      </c>
      <c r="N42" s="617"/>
      <c r="O42" s="612">
        <v>0</v>
      </c>
      <c r="P42" s="611"/>
      <c r="Q42" s="611">
        <v>0</v>
      </c>
      <c r="R42" s="611"/>
      <c r="S42" s="611">
        <v>0</v>
      </c>
      <c r="T42" s="611"/>
      <c r="U42" s="611">
        <v>0</v>
      </c>
      <c r="V42" s="611"/>
      <c r="W42" s="611">
        <v>0</v>
      </c>
      <c r="X42" s="611"/>
      <c r="Y42" s="611">
        <v>0</v>
      </c>
      <c r="Z42" s="611"/>
      <c r="AA42" s="611">
        <v>0</v>
      </c>
      <c r="AB42" s="476">
        <f t="shared" si="0"/>
        <v>0</v>
      </c>
      <c r="AC42" s="601"/>
      <c r="AD42" s="476">
        <v>0</v>
      </c>
      <c r="AE42" s="476"/>
      <c r="AF42" s="476">
        <f t="shared" si="4"/>
        <v>0</v>
      </c>
      <c r="AG42" s="537">
        <f t="shared" si="5"/>
        <v>0</v>
      </c>
      <c r="AH42" s="474">
        <f t="shared" si="3"/>
        <v>0</v>
      </c>
      <c r="AI42" s="591"/>
    </row>
    <row r="43" spans="1:35" x14ac:dyDescent="0.45">
      <c r="A43" s="691" t="s">
        <v>336</v>
      </c>
      <c r="B43" s="609">
        <v>9218.4100000003418</v>
      </c>
      <c r="C43" s="610"/>
      <c r="D43" s="609"/>
      <c r="E43" s="615">
        <v>0</v>
      </c>
      <c r="F43" s="615"/>
      <c r="G43" s="616">
        <v>0</v>
      </c>
      <c r="H43" s="615"/>
      <c r="I43" s="615">
        <v>0</v>
      </c>
      <c r="J43" s="615"/>
      <c r="K43" s="617">
        <v>0</v>
      </c>
      <c r="L43" s="617"/>
      <c r="M43" s="617">
        <v>0</v>
      </c>
      <c r="N43" s="617"/>
      <c r="O43" s="612">
        <v>0</v>
      </c>
      <c r="P43" s="611"/>
      <c r="Q43" s="611">
        <v>0</v>
      </c>
      <c r="R43" s="611"/>
      <c r="S43" s="611">
        <v>0</v>
      </c>
      <c r="T43" s="611"/>
      <c r="U43" s="611">
        <v>0</v>
      </c>
      <c r="V43" s="611"/>
      <c r="W43" s="611">
        <v>0</v>
      </c>
      <c r="X43" s="611"/>
      <c r="Y43" s="611">
        <v>267.95</v>
      </c>
      <c r="Z43" s="611"/>
      <c r="AA43" s="611">
        <v>0</v>
      </c>
      <c r="AB43" s="476">
        <f t="shared" si="0"/>
        <v>9486.3600000003426</v>
      </c>
      <c r="AC43" s="601"/>
      <c r="AD43" s="476">
        <v>9218.4100000003418</v>
      </c>
      <c r="AE43" s="476"/>
      <c r="AF43" s="476">
        <f t="shared" si="4"/>
        <v>267.95</v>
      </c>
      <c r="AG43" s="537">
        <f t="shared" si="5"/>
        <v>0</v>
      </c>
      <c r="AH43" s="474">
        <f t="shared" si="3"/>
        <v>9486.3600000003426</v>
      </c>
      <c r="AI43" s="591"/>
    </row>
    <row r="44" spans="1:35" x14ac:dyDescent="0.45">
      <c r="A44" s="691" t="s">
        <v>50</v>
      </c>
      <c r="B44" s="609">
        <v>1075045.81</v>
      </c>
      <c r="C44" s="610"/>
      <c r="D44" s="609"/>
      <c r="E44" s="615">
        <v>214660.27</v>
      </c>
      <c r="F44" s="615">
        <v>0</v>
      </c>
      <c r="G44" s="616">
        <v>188566.87</v>
      </c>
      <c r="H44" s="615"/>
      <c r="I44" s="615">
        <v>189808.26</v>
      </c>
      <c r="J44" s="615">
        <v>461032.28</v>
      </c>
      <c r="K44" s="617">
        <v>189734.75</v>
      </c>
      <c r="L44" s="617">
        <v>378375.13</v>
      </c>
      <c r="M44" s="617">
        <v>190222.53</v>
      </c>
      <c r="N44" s="617"/>
      <c r="O44" s="612">
        <v>191656.44</v>
      </c>
      <c r="P44" s="611">
        <f>379611.59+345.69</f>
        <v>379957.28</v>
      </c>
      <c r="Q44" s="611">
        <v>212317.56</v>
      </c>
      <c r="R44" s="611"/>
      <c r="S44" s="611">
        <v>143996.10999999999</v>
      </c>
      <c r="T44" s="611">
        <v>191656.44</v>
      </c>
      <c r="U44" s="611">
        <v>181701.41</v>
      </c>
      <c r="V44" s="611"/>
      <c r="W44" s="461">
        <v>118066.67000000001</v>
      </c>
      <c r="X44" s="611">
        <f>201621.08</f>
        <v>201621.08</v>
      </c>
      <c r="Y44" s="611">
        <v>613072.57999999996</v>
      </c>
      <c r="Z44" s="611">
        <v>142958</v>
      </c>
      <c r="AA44" s="611">
        <v>230618.98</v>
      </c>
      <c r="AB44" s="476">
        <f>B44+-D44+E44-F44+G44-H44+I44-J44+K44-L44+M44-N44+O44-P44+Q44-R44+S44-T44+U44-V44+W44-X44+Y44-Z44+AA44</f>
        <v>1983868.0299999998</v>
      </c>
      <c r="AC44" s="601"/>
      <c r="AD44" s="476">
        <v>1075045.81</v>
      </c>
      <c r="AE44" s="476"/>
      <c r="AF44" s="476">
        <f t="shared" si="4"/>
        <v>2664422.4299999997</v>
      </c>
      <c r="AG44" s="537">
        <f t="shared" si="5"/>
        <v>1755600.21</v>
      </c>
      <c r="AH44" s="474">
        <f t="shared" si="3"/>
        <v>1983868.0299999998</v>
      </c>
      <c r="AI44" s="591"/>
    </row>
    <row r="45" spans="1:35" x14ac:dyDescent="0.45">
      <c r="A45" s="691" t="s">
        <v>417</v>
      </c>
      <c r="B45" s="609">
        <v>-2858.9200000000928</v>
      </c>
      <c r="C45" s="610"/>
      <c r="D45" s="609"/>
      <c r="E45" s="615">
        <v>0</v>
      </c>
      <c r="F45" s="615"/>
      <c r="G45" s="616">
        <v>0</v>
      </c>
      <c r="H45" s="615"/>
      <c r="I45" s="615">
        <v>0</v>
      </c>
      <c r="J45" s="615"/>
      <c r="K45" s="617">
        <v>0</v>
      </c>
      <c r="L45" s="617"/>
      <c r="M45" s="617">
        <v>0</v>
      </c>
      <c r="N45" s="617"/>
      <c r="O45" s="612">
        <v>0</v>
      </c>
      <c r="P45" s="611"/>
      <c r="Q45" s="611">
        <v>0</v>
      </c>
      <c r="R45" s="611"/>
      <c r="S45" s="611">
        <v>0</v>
      </c>
      <c r="T45" s="611"/>
      <c r="U45" s="611">
        <v>0</v>
      </c>
      <c r="V45" s="611"/>
      <c r="W45" s="611">
        <v>0</v>
      </c>
      <c r="X45" s="611"/>
      <c r="Y45" s="611">
        <v>0</v>
      </c>
      <c r="Z45" s="611"/>
      <c r="AA45" s="611">
        <v>0</v>
      </c>
      <c r="AB45" s="476">
        <f t="shared" ref="AB45:AB76" si="6">B45-D45+E45-F45+G45-H45+I45-J45+K45-L45+M45-N45+O45-P45+Q45-R45+S45-T45+U45-V45+W45-X45+Y45-Z45+AA45</f>
        <v>-2858.9200000000928</v>
      </c>
      <c r="AC45" s="601"/>
      <c r="AD45" s="476">
        <v>-2858.9200000000928</v>
      </c>
      <c r="AE45" s="476"/>
      <c r="AF45" s="476">
        <f t="shared" si="4"/>
        <v>0</v>
      </c>
      <c r="AG45" s="537">
        <f t="shared" si="5"/>
        <v>0</v>
      </c>
      <c r="AH45" s="474">
        <f t="shared" si="3"/>
        <v>-2858.9200000000928</v>
      </c>
      <c r="AI45" s="591"/>
    </row>
    <row r="46" spans="1:35" x14ac:dyDescent="0.45">
      <c r="A46" s="691" t="s">
        <v>46</v>
      </c>
      <c r="B46" s="609">
        <v>801687.58999999985</v>
      </c>
      <c r="C46" s="610"/>
      <c r="D46" s="609">
        <v>578798.92000000004</v>
      </c>
      <c r="E46" s="615">
        <v>202020.99999999997</v>
      </c>
      <c r="F46" s="615">
        <f>212174.28</f>
        <v>212174.28</v>
      </c>
      <c r="G46" s="616">
        <v>200965.53</v>
      </c>
      <c r="H46" s="615">
        <f>201021</f>
        <v>201021</v>
      </c>
      <c r="I46" s="615">
        <v>193565.16</v>
      </c>
      <c r="J46" s="615">
        <v>200965.53</v>
      </c>
      <c r="K46" s="617">
        <v>208569.48</v>
      </c>
      <c r="L46" s="617">
        <v>193565.16</v>
      </c>
      <c r="M46" s="617">
        <v>207195.12</v>
      </c>
      <c r="N46" s="617">
        <f>200633.9</f>
        <v>200633.9</v>
      </c>
      <c r="O46" s="612">
        <v>184623.28</v>
      </c>
      <c r="P46" s="611">
        <f>207192.12+192558.86</f>
        <v>399750.98</v>
      </c>
      <c r="Q46" s="611">
        <v>194458.78</v>
      </c>
      <c r="R46" s="611">
        <v>194458.78</v>
      </c>
      <c r="S46" s="611">
        <v>253152.44</v>
      </c>
      <c r="T46" s="611"/>
      <c r="U46" s="611">
        <v>241643.07</v>
      </c>
      <c r="V46" s="611">
        <f>231941.44</f>
        <v>231941.44</v>
      </c>
      <c r="W46" s="611">
        <v>162768.83999999997</v>
      </c>
      <c r="X46" s="611">
        <f>241643.07</f>
        <v>241643.07</v>
      </c>
      <c r="Y46" s="611">
        <v>253174.59000000005</v>
      </c>
      <c r="Z46" s="611">
        <f>174101.36</f>
        <v>174101.36</v>
      </c>
      <c r="AA46" s="611">
        <v>213289.50999999998</v>
      </c>
      <c r="AB46" s="476">
        <f t="shared" si="6"/>
        <v>488059.97</v>
      </c>
      <c r="AC46" s="601"/>
      <c r="AD46" s="476">
        <v>801687.58999999985</v>
      </c>
      <c r="AE46" s="476"/>
      <c r="AF46" s="476">
        <f t="shared" si="4"/>
        <v>2515426.7999999993</v>
      </c>
      <c r="AG46" s="537">
        <f t="shared" si="5"/>
        <v>2829054.4199999995</v>
      </c>
      <c r="AH46" s="474">
        <f t="shared" si="3"/>
        <v>488059.96999999974</v>
      </c>
      <c r="AI46" s="591"/>
    </row>
    <row r="47" spans="1:35" x14ac:dyDescent="0.45">
      <c r="A47" s="691" t="s">
        <v>59</v>
      </c>
      <c r="B47" s="609">
        <v>10129.969999999981</v>
      </c>
      <c r="C47" s="610"/>
      <c r="D47" s="609"/>
      <c r="E47" s="615">
        <v>7947</v>
      </c>
      <c r="F47" s="615">
        <f>18076.97</f>
        <v>18076.97</v>
      </c>
      <c r="G47" s="616">
        <v>8506.9</v>
      </c>
      <c r="H47" s="615"/>
      <c r="I47" s="615">
        <v>8550</v>
      </c>
      <c r="J47" s="615"/>
      <c r="K47" s="617">
        <v>8670.5</v>
      </c>
      <c r="L47" s="617"/>
      <c r="M47" s="617">
        <v>11342.52</v>
      </c>
      <c r="N47" s="617"/>
      <c r="O47" s="612">
        <v>11754.16</v>
      </c>
      <c r="P47" s="611">
        <f>11754.16</f>
        <v>11754.16</v>
      </c>
      <c r="Q47" s="611">
        <v>1039.24</v>
      </c>
      <c r="R47" s="611">
        <v>38109.160000000003</v>
      </c>
      <c r="S47" s="611">
        <v>0</v>
      </c>
      <c r="T47" s="611"/>
      <c r="U47" s="611">
        <v>0</v>
      </c>
      <c r="V47" s="611"/>
      <c r="W47" s="611">
        <v>0</v>
      </c>
      <c r="X47" s="611"/>
      <c r="Y47" s="611">
        <v>45006.39</v>
      </c>
      <c r="Z47" s="611">
        <v>45006.39</v>
      </c>
      <c r="AA47" s="611">
        <v>10426.869999999999</v>
      </c>
      <c r="AB47" s="476">
        <f t="shared" si="6"/>
        <v>10426.869999999977</v>
      </c>
      <c r="AC47" s="601"/>
      <c r="AD47" s="476">
        <v>10129.969999999981</v>
      </c>
      <c r="AE47" s="476"/>
      <c r="AF47" s="476">
        <f t="shared" si="4"/>
        <v>113243.57999999999</v>
      </c>
      <c r="AG47" s="537">
        <f t="shared" si="5"/>
        <v>112946.68000000001</v>
      </c>
      <c r="AH47" s="474">
        <f t="shared" si="3"/>
        <v>10426.869999999966</v>
      </c>
      <c r="AI47" s="591"/>
    </row>
    <row r="48" spans="1:35" x14ac:dyDescent="0.45">
      <c r="A48" s="691" t="s">
        <v>500</v>
      </c>
      <c r="B48" s="609">
        <v>75272.960000000137</v>
      </c>
      <c r="C48" s="610"/>
      <c r="D48" s="609"/>
      <c r="E48" s="615">
        <v>277419.73</v>
      </c>
      <c r="F48" s="615">
        <f>75272.96</f>
        <v>75272.960000000006</v>
      </c>
      <c r="G48" s="616">
        <v>264337.3</v>
      </c>
      <c r="H48" s="615">
        <f>277419.73+264337.3</f>
        <v>541757.03</v>
      </c>
      <c r="I48" s="615">
        <v>280509.87</v>
      </c>
      <c r="J48" s="615">
        <v>280509.87</v>
      </c>
      <c r="K48" s="617">
        <v>283488.87</v>
      </c>
      <c r="L48" s="617">
        <v>283488.87</v>
      </c>
      <c r="M48" s="617">
        <v>294741.73</v>
      </c>
      <c r="N48" s="617">
        <v>294741.73</v>
      </c>
      <c r="O48" s="612">
        <v>288492.16000000003</v>
      </c>
      <c r="P48" s="611">
        <v>288492.15999999997</v>
      </c>
      <c r="Q48" s="611">
        <v>253208.72</v>
      </c>
      <c r="R48" s="611">
        <v>253208.72</v>
      </c>
      <c r="S48" s="611">
        <v>332598.57</v>
      </c>
      <c r="T48" s="611">
        <v>332598.57</v>
      </c>
      <c r="U48" s="611">
        <v>304953.58999999997</v>
      </c>
      <c r="V48" s="611"/>
      <c r="W48" s="611">
        <v>224617.61999999997</v>
      </c>
      <c r="X48" s="611">
        <f>275981.83+253589.38</f>
        <v>529571.21</v>
      </c>
      <c r="Y48" s="611">
        <v>241232.52</v>
      </c>
      <c r="Z48" s="618">
        <f>241232.52</f>
        <v>241232.52</v>
      </c>
      <c r="AA48" s="611">
        <v>251067.56</v>
      </c>
      <c r="AB48" s="476">
        <f t="shared" si="6"/>
        <v>251067.56</v>
      </c>
      <c r="AC48" s="601"/>
      <c r="AD48" s="476">
        <v>75272.960000000137</v>
      </c>
      <c r="AE48" s="476"/>
      <c r="AF48" s="476">
        <f t="shared" si="4"/>
        <v>3296668.24</v>
      </c>
      <c r="AG48" s="537">
        <f t="shared" si="5"/>
        <v>3120873.6399999997</v>
      </c>
      <c r="AH48" s="474">
        <f t="shared" si="3"/>
        <v>251067.56000000052</v>
      </c>
      <c r="AI48" s="591"/>
    </row>
    <row r="49" spans="1:35" x14ac:dyDescent="0.45">
      <c r="A49" s="691" t="s">
        <v>75</v>
      </c>
      <c r="B49" s="609">
        <v>2146968.3600000022</v>
      </c>
      <c r="C49" s="610"/>
      <c r="D49" s="609">
        <v>446266.55</v>
      </c>
      <c r="E49" s="615">
        <v>390598.57000000007</v>
      </c>
      <c r="F49" s="615">
        <f>891638.59</f>
        <v>891638.59</v>
      </c>
      <c r="G49" s="616">
        <v>386949.21</v>
      </c>
      <c r="H49" s="615"/>
      <c r="I49" s="615">
        <v>381141.07</v>
      </c>
      <c r="J49" s="615"/>
      <c r="K49" s="617">
        <v>383285.29</v>
      </c>
      <c r="L49" s="617"/>
      <c r="M49" s="617">
        <v>365785.1</v>
      </c>
      <c r="N49" s="617">
        <v>1832.16</v>
      </c>
      <c r="O49" s="612">
        <v>352037.28</v>
      </c>
      <c r="P49" s="611"/>
      <c r="Q49" s="611">
        <v>358256.58999999997</v>
      </c>
      <c r="R49" s="611"/>
      <c r="S49" s="611">
        <v>608352.43999999994</v>
      </c>
      <c r="T49" s="611">
        <v>1459364.26</v>
      </c>
      <c r="U49" s="611">
        <v>410126.44000000006</v>
      </c>
      <c r="V49" s="611"/>
      <c r="W49" s="611">
        <v>391407.81000000006</v>
      </c>
      <c r="X49" s="611"/>
      <c r="Y49" s="611">
        <v>500379.1</v>
      </c>
      <c r="Z49" s="611"/>
      <c r="AA49" s="611">
        <v>416135.9</v>
      </c>
      <c r="AB49" s="476">
        <f t="shared" si="6"/>
        <v>4292321.6000000015</v>
      </c>
      <c r="AC49" s="601"/>
      <c r="AD49" s="476">
        <v>2146968.3600000022</v>
      </c>
      <c r="AE49" s="476"/>
      <c r="AF49" s="476">
        <f t="shared" si="4"/>
        <v>4944454.8000000007</v>
      </c>
      <c r="AG49" s="537">
        <f t="shared" si="5"/>
        <v>2799101.5599999996</v>
      </c>
      <c r="AH49" s="474">
        <f t="shared" si="3"/>
        <v>4292321.6000000034</v>
      </c>
      <c r="AI49" s="591"/>
    </row>
    <row r="50" spans="1:35" x14ac:dyDescent="0.45">
      <c r="A50" s="691" t="s">
        <v>84</v>
      </c>
      <c r="B50" s="609">
        <v>-5959.0299999996205</v>
      </c>
      <c r="C50" s="610"/>
      <c r="D50" s="609"/>
      <c r="E50" s="615">
        <v>0</v>
      </c>
      <c r="F50" s="615"/>
      <c r="G50" s="616">
        <v>0</v>
      </c>
      <c r="H50" s="615"/>
      <c r="I50" s="615">
        <v>0</v>
      </c>
      <c r="J50" s="615"/>
      <c r="K50" s="617">
        <v>0</v>
      </c>
      <c r="L50" s="617"/>
      <c r="M50" s="617">
        <v>0</v>
      </c>
      <c r="N50" s="617"/>
      <c r="O50" s="612">
        <v>0</v>
      </c>
      <c r="P50" s="611"/>
      <c r="Q50" s="611">
        <v>0</v>
      </c>
      <c r="R50" s="611"/>
      <c r="S50" s="611">
        <v>0</v>
      </c>
      <c r="T50" s="611"/>
      <c r="U50" s="611">
        <v>0</v>
      </c>
      <c r="V50" s="611"/>
      <c r="W50" s="611">
        <v>0</v>
      </c>
      <c r="X50" s="611"/>
      <c r="Y50" s="611">
        <v>0</v>
      </c>
      <c r="Z50" s="611"/>
      <c r="AA50" s="611">
        <v>0</v>
      </c>
      <c r="AB50" s="476">
        <f t="shared" si="6"/>
        <v>-5959.0299999996205</v>
      </c>
      <c r="AC50" s="601"/>
      <c r="AD50" s="476">
        <v>-5959.0299999996205</v>
      </c>
      <c r="AE50" s="476"/>
      <c r="AF50" s="476">
        <f t="shared" si="4"/>
        <v>0</v>
      </c>
      <c r="AG50" s="537">
        <f t="shared" si="5"/>
        <v>0</v>
      </c>
      <c r="AH50" s="474">
        <f t="shared" si="3"/>
        <v>-5959.0299999996205</v>
      </c>
      <c r="AI50" s="591"/>
    </row>
    <row r="51" spans="1:35" x14ac:dyDescent="0.45">
      <c r="A51" s="691" t="s">
        <v>68</v>
      </c>
      <c r="B51" s="609">
        <v>286459.68999999936</v>
      </c>
      <c r="C51" s="610"/>
      <c r="D51" s="609"/>
      <c r="E51" s="615">
        <v>132297.71</v>
      </c>
      <c r="F51" s="615">
        <f>149170.57+137860.24</f>
        <v>287030.81</v>
      </c>
      <c r="G51" s="616">
        <v>120552.2</v>
      </c>
      <c r="H51" s="615">
        <f>132297.71</f>
        <v>132297.71</v>
      </c>
      <c r="I51" s="615">
        <v>134839.70000000001</v>
      </c>
      <c r="J51" s="615">
        <v>255391.9</v>
      </c>
      <c r="K51" s="617">
        <v>125657.13999999998</v>
      </c>
      <c r="L51" s="617"/>
      <c r="M51" s="617">
        <v>134986.49</v>
      </c>
      <c r="N51" s="617"/>
      <c r="O51" s="612">
        <v>140286.28</v>
      </c>
      <c r="P51" s="611">
        <f>260643.63+140286.28</f>
        <v>400929.91000000003</v>
      </c>
      <c r="Q51" s="611">
        <v>157873.25</v>
      </c>
      <c r="R51" s="611"/>
      <c r="S51" s="611">
        <v>120024.28</v>
      </c>
      <c r="T51" s="611">
        <v>157873.25</v>
      </c>
      <c r="U51" s="614">
        <v>102845.34</v>
      </c>
      <c r="V51" s="611">
        <f>120024.28</f>
        <v>120024.28</v>
      </c>
      <c r="W51" s="611">
        <v>77384.899999999994</v>
      </c>
      <c r="X51" s="611"/>
      <c r="Y51" s="611">
        <v>201294.61999999997</v>
      </c>
      <c r="Z51" s="618"/>
      <c r="AA51" s="611">
        <v>123329.64000000001</v>
      </c>
      <c r="AB51" s="476">
        <f t="shared" si="6"/>
        <v>504283.37999999931</v>
      </c>
      <c r="AC51" s="601"/>
      <c r="AD51" s="476">
        <v>286459.68999999936</v>
      </c>
      <c r="AE51" s="476"/>
      <c r="AF51" s="476">
        <f t="shared" si="4"/>
        <v>1571371.5499999998</v>
      </c>
      <c r="AG51" s="537">
        <f t="shared" si="5"/>
        <v>1353547.86</v>
      </c>
      <c r="AH51" s="474">
        <f t="shared" si="3"/>
        <v>504283.37999999919</v>
      </c>
      <c r="AI51" s="591"/>
    </row>
    <row r="52" spans="1:35" x14ac:dyDescent="0.45">
      <c r="A52" s="691" t="s">
        <v>51</v>
      </c>
      <c r="B52" s="609">
        <v>4.6566128730773926E-10</v>
      </c>
      <c r="C52" s="610"/>
      <c r="D52" s="609"/>
      <c r="E52" s="615">
        <v>0</v>
      </c>
      <c r="F52" s="615"/>
      <c r="G52" s="616">
        <v>0</v>
      </c>
      <c r="H52" s="615"/>
      <c r="I52" s="615">
        <v>0</v>
      </c>
      <c r="J52" s="615"/>
      <c r="K52" s="617">
        <v>0</v>
      </c>
      <c r="L52" s="617"/>
      <c r="M52" s="617">
        <v>0</v>
      </c>
      <c r="N52" s="617"/>
      <c r="O52" s="612">
        <v>0</v>
      </c>
      <c r="P52" s="611"/>
      <c r="Q52" s="611">
        <v>0</v>
      </c>
      <c r="R52" s="611"/>
      <c r="S52" s="611">
        <v>0</v>
      </c>
      <c r="T52" s="611"/>
      <c r="U52" s="611">
        <v>0</v>
      </c>
      <c r="V52" s="611"/>
      <c r="W52" s="611">
        <v>0</v>
      </c>
      <c r="X52" s="611"/>
      <c r="Y52" s="611">
        <v>0</v>
      </c>
      <c r="Z52" s="611"/>
      <c r="AA52" s="611">
        <v>0</v>
      </c>
      <c r="AB52" s="476">
        <f t="shared" si="6"/>
        <v>4.6566128730773926E-10</v>
      </c>
      <c r="AC52" s="601"/>
      <c r="AD52" s="476">
        <v>4.6566128730773926E-10</v>
      </c>
      <c r="AE52" s="476"/>
      <c r="AF52" s="476">
        <f t="shared" si="4"/>
        <v>0</v>
      </c>
      <c r="AG52" s="537">
        <f t="shared" si="5"/>
        <v>0</v>
      </c>
      <c r="AH52" s="474">
        <f t="shared" si="3"/>
        <v>4.6566128730773926E-10</v>
      </c>
      <c r="AI52" s="591"/>
    </row>
    <row r="53" spans="1:35" x14ac:dyDescent="0.45">
      <c r="A53" s="691" t="s">
        <v>366</v>
      </c>
      <c r="B53" s="609">
        <v>527676.3200000003</v>
      </c>
      <c r="C53" s="610"/>
      <c r="D53" s="609"/>
      <c r="E53" s="615">
        <v>350247.58999999997</v>
      </c>
      <c r="F53" s="615"/>
      <c r="G53" s="616">
        <v>420359.4</v>
      </c>
      <c r="H53" s="615">
        <v>428020.29</v>
      </c>
      <c r="I53" s="615">
        <v>353518.56</v>
      </c>
      <c r="J53" s="615">
        <f>773877.96</f>
        <v>773877.96</v>
      </c>
      <c r="K53" s="617">
        <v>352490.68</v>
      </c>
      <c r="L53" s="617"/>
      <c r="M53" s="617">
        <v>365746.19</v>
      </c>
      <c r="N53" s="617">
        <v>1062491.76</v>
      </c>
      <c r="O53" s="612">
        <v>403325.01999999996</v>
      </c>
      <c r="P53" s="611">
        <f>403325.02</f>
        <v>403325.02</v>
      </c>
      <c r="Q53" s="611">
        <v>504566.05000000005</v>
      </c>
      <c r="R53" s="611">
        <v>504566.05</v>
      </c>
      <c r="S53" s="611">
        <v>423891.18</v>
      </c>
      <c r="T53" s="611">
        <v>423891.18</v>
      </c>
      <c r="U53" s="614">
        <v>404926.64</v>
      </c>
      <c r="V53" s="611"/>
      <c r="W53" s="611">
        <v>352494.1</v>
      </c>
      <c r="X53" s="611">
        <f>404926.64</f>
        <v>404926.64</v>
      </c>
      <c r="Y53" s="611">
        <v>640481.55000000005</v>
      </c>
      <c r="Z53" s="611">
        <f>704984.78</f>
        <v>704984.78</v>
      </c>
      <c r="AA53" s="611">
        <v>444552.95</v>
      </c>
      <c r="AB53" s="476">
        <f t="shared" si="6"/>
        <v>838192.55000000028</v>
      </c>
      <c r="AC53" s="601"/>
      <c r="AD53" s="476">
        <v>527676.3200000003</v>
      </c>
      <c r="AE53" s="476"/>
      <c r="AF53" s="476">
        <f t="shared" si="4"/>
        <v>5016599.9100000011</v>
      </c>
      <c r="AG53" s="537">
        <f t="shared" si="5"/>
        <v>4706083.68</v>
      </c>
      <c r="AH53" s="474">
        <f t="shared" si="3"/>
        <v>838192.55000000168</v>
      </c>
      <c r="AI53" s="591"/>
    </row>
    <row r="54" spans="1:35" x14ac:dyDescent="0.45">
      <c r="A54" s="691" t="s">
        <v>77</v>
      </c>
      <c r="B54" s="609">
        <v>-35689.800000000032</v>
      </c>
      <c r="C54" s="610"/>
      <c r="D54" s="609"/>
      <c r="E54" s="615">
        <v>0</v>
      </c>
      <c r="F54" s="615"/>
      <c r="G54" s="616">
        <v>0</v>
      </c>
      <c r="H54" s="615"/>
      <c r="I54" s="615">
        <v>0</v>
      </c>
      <c r="J54" s="615"/>
      <c r="K54" s="617">
        <v>0</v>
      </c>
      <c r="L54" s="617"/>
      <c r="M54" s="617">
        <v>0</v>
      </c>
      <c r="N54" s="617"/>
      <c r="O54" s="612">
        <v>0</v>
      </c>
      <c r="P54" s="611"/>
      <c r="Q54" s="611">
        <v>0</v>
      </c>
      <c r="R54" s="611"/>
      <c r="S54" s="611">
        <v>0</v>
      </c>
      <c r="T54" s="611"/>
      <c r="U54" s="611">
        <v>0</v>
      </c>
      <c r="V54" s="611"/>
      <c r="W54" s="644">
        <v>0</v>
      </c>
      <c r="X54" s="611"/>
      <c r="Y54" s="611">
        <v>0</v>
      </c>
      <c r="Z54" s="611"/>
      <c r="AA54" s="611">
        <v>0</v>
      </c>
      <c r="AB54" s="476">
        <f t="shared" si="6"/>
        <v>-35689.800000000032</v>
      </c>
      <c r="AC54" s="601"/>
      <c r="AD54" s="476">
        <v>-35689.800000000032</v>
      </c>
      <c r="AE54" s="476"/>
      <c r="AF54" s="476">
        <f t="shared" si="4"/>
        <v>0</v>
      </c>
      <c r="AG54" s="537">
        <f t="shared" si="5"/>
        <v>0</v>
      </c>
      <c r="AH54" s="474">
        <f t="shared" si="3"/>
        <v>-35689.800000000032</v>
      </c>
      <c r="AI54" s="591"/>
    </row>
    <row r="55" spans="1:35" x14ac:dyDescent="0.45">
      <c r="A55" s="691" t="s">
        <v>56</v>
      </c>
      <c r="B55" s="609">
        <v>36439.999999999767</v>
      </c>
      <c r="C55" s="610"/>
      <c r="D55" s="609"/>
      <c r="E55" s="615">
        <v>36439.999999999767</v>
      </c>
      <c r="F55" s="615"/>
      <c r="G55" s="616">
        <v>36440</v>
      </c>
      <c r="H55" s="615"/>
      <c r="I55" s="615">
        <v>36440</v>
      </c>
      <c r="J55" s="615"/>
      <c r="K55" s="617">
        <v>36440</v>
      </c>
      <c r="L55" s="617"/>
      <c r="M55" s="617">
        <v>36440</v>
      </c>
      <c r="N55" s="617"/>
      <c r="O55" s="612">
        <v>36440</v>
      </c>
      <c r="P55" s="611"/>
      <c r="Q55" s="611">
        <v>0</v>
      </c>
      <c r="R55" s="611"/>
      <c r="S55" s="611">
        <v>72880</v>
      </c>
      <c r="T55" s="611"/>
      <c r="U55" s="611">
        <v>36440</v>
      </c>
      <c r="V55" s="611"/>
      <c r="W55" s="611">
        <v>36440</v>
      </c>
      <c r="X55" s="611"/>
      <c r="Y55" s="611">
        <v>36440</v>
      </c>
      <c r="Z55" s="611"/>
      <c r="AA55" s="611">
        <v>36440</v>
      </c>
      <c r="AB55" s="476">
        <f t="shared" si="6"/>
        <v>473719.99999999953</v>
      </c>
      <c r="AC55" s="601"/>
      <c r="AD55" s="476">
        <v>36439.999999999767</v>
      </c>
      <c r="AE55" s="476"/>
      <c r="AF55" s="476">
        <f t="shared" si="4"/>
        <v>437279.99999999977</v>
      </c>
      <c r="AG55" s="537">
        <f t="shared" si="5"/>
        <v>0</v>
      </c>
      <c r="AH55" s="474">
        <f t="shared" si="3"/>
        <v>473719.99999999953</v>
      </c>
      <c r="AI55" s="591"/>
    </row>
    <row r="56" spans="1:35" x14ac:dyDescent="0.45">
      <c r="A56" s="691" t="s">
        <v>66</v>
      </c>
      <c r="B56" s="609">
        <v>849404.27</v>
      </c>
      <c r="C56" s="610"/>
      <c r="D56" s="609"/>
      <c r="E56" s="615">
        <v>370180.55000000005</v>
      </c>
      <c r="F56" s="615"/>
      <c r="G56" s="616">
        <v>390743.51999999996</v>
      </c>
      <c r="H56" s="615"/>
      <c r="I56" s="615">
        <v>372449.69</v>
      </c>
      <c r="J56" s="615">
        <f>837771.25</f>
        <v>837771.25</v>
      </c>
      <c r="K56" s="617">
        <v>371470</v>
      </c>
      <c r="L56" s="617"/>
      <c r="M56" s="617">
        <v>382093.44</v>
      </c>
      <c r="N56" s="617">
        <v>772557.09</v>
      </c>
      <c r="O56" s="612">
        <v>452003.24</v>
      </c>
      <c r="P56" s="611">
        <f>743919.69+382093.44</f>
        <v>1126013.1299999999</v>
      </c>
      <c r="Q56" s="611">
        <v>423837.60000000003</v>
      </c>
      <c r="R56" s="611">
        <v>452003.24</v>
      </c>
      <c r="S56" s="611">
        <v>510408.05</v>
      </c>
      <c r="T56" s="611">
        <v>423837.6</v>
      </c>
      <c r="U56" s="611">
        <v>504313.48</v>
      </c>
      <c r="V56" s="611"/>
      <c r="W56" s="611">
        <v>374473.07</v>
      </c>
      <c r="X56" s="611"/>
      <c r="Y56" s="611">
        <v>819806.32</v>
      </c>
      <c r="Z56" s="611">
        <v>2209000.92</v>
      </c>
      <c r="AA56" s="611">
        <v>474573.77999999997</v>
      </c>
      <c r="AB56" s="476">
        <f t="shared" si="6"/>
        <v>474573.77999999997</v>
      </c>
      <c r="AC56" s="601"/>
      <c r="AD56" s="476">
        <v>849404.27</v>
      </c>
      <c r="AE56" s="476"/>
      <c r="AF56" s="476">
        <f t="shared" si="4"/>
        <v>5446352.7400000002</v>
      </c>
      <c r="AG56" s="537">
        <f t="shared" si="5"/>
        <v>5821183.2300000004</v>
      </c>
      <c r="AH56" s="474">
        <f t="shared" si="3"/>
        <v>474573.77999999933</v>
      </c>
      <c r="AI56" s="591"/>
    </row>
    <row r="57" spans="1:35" x14ac:dyDescent="0.45">
      <c r="A57" s="691" t="s">
        <v>367</v>
      </c>
      <c r="B57" s="609">
        <v>27421.069999999483</v>
      </c>
      <c r="C57" s="610"/>
      <c r="D57" s="609"/>
      <c r="E57" s="615">
        <v>164271.96</v>
      </c>
      <c r="F57" s="615"/>
      <c r="G57" s="616">
        <v>161683.85</v>
      </c>
      <c r="H57" s="615">
        <f>191693.03+161683.85</f>
        <v>353376.88</v>
      </c>
      <c r="I57" s="615">
        <v>156169.79</v>
      </c>
      <c r="J57" s="615">
        <v>156169.79</v>
      </c>
      <c r="K57" s="611">
        <v>157225.57999999999</v>
      </c>
      <c r="L57" s="617"/>
      <c r="M57" s="617">
        <v>160333.88999999998</v>
      </c>
      <c r="N57" s="617">
        <v>157225.57999999999</v>
      </c>
      <c r="O57" s="612">
        <v>157805.26999999999</v>
      </c>
      <c r="P57" s="611">
        <f>160333.89+157805.27</f>
        <v>318139.16000000003</v>
      </c>
      <c r="Q57" s="611">
        <v>33929.17</v>
      </c>
      <c r="R57" s="611">
        <v>33929.17</v>
      </c>
      <c r="S57" s="611">
        <v>304658.95</v>
      </c>
      <c r="T57" s="611">
        <v>304658.95</v>
      </c>
      <c r="U57" s="611">
        <v>176114.89</v>
      </c>
      <c r="V57" s="611">
        <v>176114.89</v>
      </c>
      <c r="W57" s="611">
        <v>270430.37</v>
      </c>
      <c r="X57" s="611"/>
      <c r="Y57" s="611">
        <v>160970.19</v>
      </c>
      <c r="Z57" s="611">
        <f>270430.37+160970.19</f>
        <v>431400.56</v>
      </c>
      <c r="AA57" s="611">
        <v>168120.99</v>
      </c>
      <c r="AB57" s="476">
        <f t="shared" si="6"/>
        <v>168120.98999999941</v>
      </c>
      <c r="AC57" s="601"/>
      <c r="AD57" s="476">
        <v>27421.069999999483</v>
      </c>
      <c r="AE57" s="476"/>
      <c r="AF57" s="476">
        <f t="shared" si="4"/>
        <v>2071714.9000000001</v>
      </c>
      <c r="AG57" s="537">
        <f t="shared" si="5"/>
        <v>1931014.98</v>
      </c>
      <c r="AH57" s="474">
        <f t="shared" si="3"/>
        <v>168120.98999999976</v>
      </c>
      <c r="AI57" s="591"/>
    </row>
    <row r="58" spans="1:35" x14ac:dyDescent="0.45">
      <c r="A58" s="691" t="s">
        <v>81</v>
      </c>
      <c r="B58" s="609">
        <v>41827.349999999962</v>
      </c>
      <c r="C58" s="610"/>
      <c r="D58" s="609"/>
      <c r="E58" s="615">
        <v>37825.82</v>
      </c>
      <c r="F58" s="615">
        <v>78665.51999999999</v>
      </c>
      <c r="G58" s="616">
        <v>38517.550000000003</v>
      </c>
      <c r="H58" s="615"/>
      <c r="I58" s="615">
        <v>37539.1</v>
      </c>
      <c r="J58" s="615">
        <v>76056.649999999994</v>
      </c>
      <c r="K58" s="617">
        <v>36059</v>
      </c>
      <c r="L58" s="617">
        <v>36059</v>
      </c>
      <c r="M58" s="617">
        <v>39190.879999999997</v>
      </c>
      <c r="N58" s="617">
        <v>39190.879999999997</v>
      </c>
      <c r="O58" s="612">
        <v>38828.300000000003</v>
      </c>
      <c r="P58" s="611">
        <f>38828.3</f>
        <v>38828.300000000003</v>
      </c>
      <c r="Q58" s="611">
        <v>24253.83</v>
      </c>
      <c r="R58" s="611">
        <v>24253.83</v>
      </c>
      <c r="S58" s="611">
        <v>55128.42</v>
      </c>
      <c r="T58" s="611">
        <v>55128.42</v>
      </c>
      <c r="U58" s="611">
        <v>40716.43</v>
      </c>
      <c r="V58" s="611"/>
      <c r="W58" s="611">
        <v>38554.82</v>
      </c>
      <c r="X58" s="611">
        <f>40716.43+38554.82</f>
        <v>79271.25</v>
      </c>
      <c r="Y58" s="611">
        <v>43172</v>
      </c>
      <c r="Z58" s="476">
        <v>43172</v>
      </c>
      <c r="AA58" s="611">
        <v>41140.980000000003</v>
      </c>
      <c r="AB58" s="476">
        <f t="shared" si="6"/>
        <v>42128.629999999968</v>
      </c>
      <c r="AC58" s="601"/>
      <c r="AD58" s="476">
        <v>41827.349999999962</v>
      </c>
      <c r="AE58" s="476"/>
      <c r="AF58" s="476">
        <f t="shared" si="4"/>
        <v>470927.13</v>
      </c>
      <c r="AG58" s="537">
        <f t="shared" si="5"/>
        <v>470625.85</v>
      </c>
      <c r="AH58" s="474">
        <f t="shared" si="3"/>
        <v>42128.630000000005</v>
      </c>
      <c r="AI58" s="591"/>
    </row>
    <row r="59" spans="1:35" x14ac:dyDescent="0.45">
      <c r="A59" s="691" t="s">
        <v>48</v>
      </c>
      <c r="B59" s="609">
        <v>520955.53999999946</v>
      </c>
      <c r="C59" s="610"/>
      <c r="D59" s="609"/>
      <c r="E59" s="615">
        <v>0</v>
      </c>
      <c r="F59" s="615"/>
      <c r="G59" s="616">
        <v>0</v>
      </c>
      <c r="H59" s="615"/>
      <c r="I59" s="615">
        <v>0</v>
      </c>
      <c r="J59" s="615"/>
      <c r="K59" s="617">
        <v>0</v>
      </c>
      <c r="L59" s="617"/>
      <c r="M59" s="617">
        <v>0</v>
      </c>
      <c r="N59" s="617"/>
      <c r="O59" s="612">
        <v>0</v>
      </c>
      <c r="P59" s="611"/>
      <c r="Q59" s="611">
        <v>0</v>
      </c>
      <c r="R59" s="611"/>
      <c r="S59" s="611">
        <v>0</v>
      </c>
      <c r="T59" s="611"/>
      <c r="U59" s="611">
        <v>0</v>
      </c>
      <c r="V59" s="611"/>
      <c r="W59" s="611">
        <v>0</v>
      </c>
      <c r="X59" s="611"/>
      <c r="Y59" s="611">
        <v>607776.68000000005</v>
      </c>
      <c r="Z59" s="611"/>
      <c r="AA59" s="611">
        <v>79772.240000000005</v>
      </c>
      <c r="AB59" s="476">
        <f t="shared" si="6"/>
        <v>1208504.4599999995</v>
      </c>
      <c r="AC59" s="601"/>
      <c r="AD59" s="476">
        <v>520955.53999999946</v>
      </c>
      <c r="AE59" s="476"/>
      <c r="AF59" s="476">
        <f t="shared" si="4"/>
        <v>687548.92</v>
      </c>
      <c r="AG59" s="537">
        <f t="shared" si="5"/>
        <v>0</v>
      </c>
      <c r="AH59" s="474">
        <f t="shared" si="3"/>
        <v>1208504.4599999995</v>
      </c>
      <c r="AI59" s="591"/>
    </row>
    <row r="60" spans="1:35" x14ac:dyDescent="0.45">
      <c r="A60" s="691" t="s">
        <v>368</v>
      </c>
      <c r="B60" s="609">
        <v>1067658.9800000025</v>
      </c>
      <c r="C60" s="610"/>
      <c r="D60" s="609"/>
      <c r="E60" s="609">
        <v>834275.91000000015</v>
      </c>
      <c r="F60" s="609">
        <f>1067658.98+834275.91</f>
        <v>1901934.8900000001</v>
      </c>
      <c r="G60" s="611">
        <v>795991.11</v>
      </c>
      <c r="H60" s="609"/>
      <c r="I60" s="609">
        <v>807795.12</v>
      </c>
      <c r="J60" s="609">
        <v>1603786.23</v>
      </c>
      <c r="K60" s="612">
        <v>805928.62</v>
      </c>
      <c r="L60" s="612">
        <v>805928.62</v>
      </c>
      <c r="M60" s="612">
        <v>774582.57000000007</v>
      </c>
      <c r="N60" s="612"/>
      <c r="O60" s="612">
        <v>760655.14</v>
      </c>
      <c r="P60" s="611">
        <f>774582.57+760655.14</f>
        <v>1535237.71</v>
      </c>
      <c r="Q60" s="611">
        <v>758056.15</v>
      </c>
      <c r="R60" s="611">
        <v>758056.15</v>
      </c>
      <c r="S60" s="611">
        <v>808794.12</v>
      </c>
      <c r="T60" s="611"/>
      <c r="U60" s="611">
        <v>2199654.04</v>
      </c>
      <c r="V60" s="611">
        <f>808794.12</f>
        <v>808794.12</v>
      </c>
      <c r="W60" s="611">
        <v>803406.58000000007</v>
      </c>
      <c r="X60" s="611">
        <f>2199654.04+803406.58</f>
        <v>3003060.62</v>
      </c>
      <c r="Y60" s="611">
        <v>1492885.33</v>
      </c>
      <c r="Z60" s="641">
        <v>1492885.33</v>
      </c>
      <c r="AA60" s="575">
        <v>1005519.06</v>
      </c>
      <c r="AB60" s="476">
        <f t="shared" si="6"/>
        <v>1005519.0600000028</v>
      </c>
      <c r="AC60" s="601"/>
      <c r="AD60" s="476">
        <v>1067658.9800000025</v>
      </c>
      <c r="AE60" s="476"/>
      <c r="AF60" s="476">
        <f t="shared" si="4"/>
        <v>11847543.750000002</v>
      </c>
      <c r="AG60" s="537">
        <f t="shared" si="5"/>
        <v>11909683.67</v>
      </c>
      <c r="AH60" s="474">
        <f t="shared" si="3"/>
        <v>1005519.0600000042</v>
      </c>
      <c r="AI60" s="591"/>
    </row>
    <row r="61" spans="1:35" x14ac:dyDescent="0.45">
      <c r="A61" s="691" t="s">
        <v>78</v>
      </c>
      <c r="B61" s="609">
        <v>-113497.31999998927</v>
      </c>
      <c r="C61" s="610"/>
      <c r="D61" s="609"/>
      <c r="E61" s="615">
        <v>0</v>
      </c>
      <c r="F61" s="615"/>
      <c r="G61" s="616">
        <v>0</v>
      </c>
      <c r="H61" s="615"/>
      <c r="I61" s="615">
        <v>0</v>
      </c>
      <c r="J61" s="615"/>
      <c r="K61" s="617">
        <v>0</v>
      </c>
      <c r="L61" s="617"/>
      <c r="M61" s="617">
        <v>0</v>
      </c>
      <c r="N61" s="617"/>
      <c r="O61" s="612">
        <v>0</v>
      </c>
      <c r="P61" s="611"/>
      <c r="Q61" s="611">
        <v>0</v>
      </c>
      <c r="R61" s="611"/>
      <c r="S61" s="611">
        <v>0</v>
      </c>
      <c r="T61" s="611"/>
      <c r="U61" s="611">
        <v>0</v>
      </c>
      <c r="V61" s="611"/>
      <c r="W61" s="611">
        <v>0</v>
      </c>
      <c r="X61" s="611"/>
      <c r="Y61" s="611">
        <v>0</v>
      </c>
      <c r="Z61" s="611"/>
      <c r="AA61" s="611">
        <v>0</v>
      </c>
      <c r="AB61" s="476">
        <f t="shared" si="6"/>
        <v>-113497.31999998927</v>
      </c>
      <c r="AC61" s="601"/>
      <c r="AD61" s="476">
        <v>-113497.31999998927</v>
      </c>
      <c r="AE61" s="476"/>
      <c r="AF61" s="476">
        <f t="shared" si="4"/>
        <v>0</v>
      </c>
      <c r="AG61" s="537">
        <f t="shared" si="5"/>
        <v>0</v>
      </c>
      <c r="AH61" s="474">
        <f t="shared" si="3"/>
        <v>-113497.31999998927</v>
      </c>
      <c r="AI61" s="591"/>
    </row>
    <row r="62" spans="1:35" x14ac:dyDescent="0.45">
      <c r="A62" s="691" t="s">
        <v>190</v>
      </c>
      <c r="B62" s="609">
        <v>-265954.98</v>
      </c>
      <c r="C62" s="610"/>
      <c r="D62" s="609"/>
      <c r="E62" s="615">
        <v>0</v>
      </c>
      <c r="F62" s="615"/>
      <c r="G62" s="616">
        <v>0</v>
      </c>
      <c r="H62" s="615"/>
      <c r="I62" s="615">
        <v>0</v>
      </c>
      <c r="J62" s="615"/>
      <c r="K62" s="617">
        <v>0</v>
      </c>
      <c r="L62" s="617"/>
      <c r="M62" s="617">
        <v>0</v>
      </c>
      <c r="N62" s="617"/>
      <c r="O62" s="612">
        <v>0</v>
      </c>
      <c r="P62" s="611"/>
      <c r="Q62" s="611">
        <v>0</v>
      </c>
      <c r="R62" s="611"/>
      <c r="S62" s="611">
        <v>0</v>
      </c>
      <c r="T62" s="611"/>
      <c r="U62" s="611">
        <v>0</v>
      </c>
      <c r="V62" s="611"/>
      <c r="W62" s="611">
        <v>0</v>
      </c>
      <c r="X62" s="611"/>
      <c r="Y62" s="611">
        <v>0</v>
      </c>
      <c r="Z62" s="611"/>
      <c r="AA62" s="611">
        <v>0</v>
      </c>
      <c r="AB62" s="476">
        <f t="shared" si="6"/>
        <v>-265954.98</v>
      </c>
      <c r="AC62" s="601"/>
      <c r="AD62" s="476">
        <v>-265954.98</v>
      </c>
      <c r="AE62" s="476"/>
      <c r="AF62" s="476">
        <f t="shared" si="4"/>
        <v>0</v>
      </c>
      <c r="AG62" s="537">
        <f t="shared" si="5"/>
        <v>0</v>
      </c>
      <c r="AH62" s="474">
        <f t="shared" si="3"/>
        <v>-265954.98</v>
      </c>
      <c r="AI62" s="591"/>
    </row>
    <row r="63" spans="1:35" x14ac:dyDescent="0.45">
      <c r="A63" s="691" t="s">
        <v>52</v>
      </c>
      <c r="B63" s="609">
        <v>0</v>
      </c>
      <c r="C63" s="610"/>
      <c r="D63" s="609"/>
      <c r="E63" s="615">
        <v>0</v>
      </c>
      <c r="F63" s="615"/>
      <c r="G63" s="616">
        <v>0</v>
      </c>
      <c r="H63" s="615"/>
      <c r="I63" s="615">
        <v>0</v>
      </c>
      <c r="J63" s="615"/>
      <c r="K63" s="617">
        <v>0</v>
      </c>
      <c r="L63" s="617"/>
      <c r="M63" s="617">
        <v>0</v>
      </c>
      <c r="N63" s="617"/>
      <c r="O63" s="612">
        <v>0</v>
      </c>
      <c r="P63" s="611"/>
      <c r="Q63" s="611">
        <v>0</v>
      </c>
      <c r="R63" s="611"/>
      <c r="S63" s="611">
        <v>0</v>
      </c>
      <c r="T63" s="611"/>
      <c r="U63" s="611">
        <v>0</v>
      </c>
      <c r="V63" s="611"/>
      <c r="W63" s="611">
        <v>0</v>
      </c>
      <c r="X63" s="611"/>
      <c r="Y63" s="611">
        <v>0</v>
      </c>
      <c r="Z63" s="611"/>
      <c r="AA63" s="611">
        <v>29146.34</v>
      </c>
      <c r="AB63" s="476">
        <f t="shared" si="6"/>
        <v>29146.34</v>
      </c>
      <c r="AC63" s="601"/>
      <c r="AD63" s="476">
        <v>0</v>
      </c>
      <c r="AE63" s="476"/>
      <c r="AF63" s="476">
        <f t="shared" si="4"/>
        <v>29146.34</v>
      </c>
      <c r="AG63" s="537">
        <f t="shared" si="5"/>
        <v>0</v>
      </c>
      <c r="AH63" s="474">
        <f t="shared" si="3"/>
        <v>29146.34</v>
      </c>
      <c r="AI63" s="591"/>
    </row>
    <row r="64" spans="1:35" x14ac:dyDescent="0.45">
      <c r="A64" s="691" t="s">
        <v>55</v>
      </c>
      <c r="B64" s="609">
        <v>-221089.2</v>
      </c>
      <c r="C64" s="610"/>
      <c r="D64" s="609"/>
      <c r="E64" s="615">
        <v>0</v>
      </c>
      <c r="F64" s="615"/>
      <c r="G64" s="616">
        <v>0</v>
      </c>
      <c r="H64" s="615"/>
      <c r="I64" s="615">
        <v>0</v>
      </c>
      <c r="J64" s="615"/>
      <c r="K64" s="617">
        <v>0</v>
      </c>
      <c r="L64" s="617"/>
      <c r="M64" s="617">
        <v>0</v>
      </c>
      <c r="N64" s="617"/>
      <c r="O64" s="612">
        <v>0</v>
      </c>
      <c r="P64" s="611"/>
      <c r="Q64" s="611">
        <v>0</v>
      </c>
      <c r="R64" s="611"/>
      <c r="S64" s="611">
        <v>0</v>
      </c>
      <c r="T64" s="611"/>
      <c r="U64" s="611">
        <v>0</v>
      </c>
      <c r="V64" s="611"/>
      <c r="W64" s="611">
        <v>0</v>
      </c>
      <c r="X64" s="611"/>
      <c r="Y64" s="611">
        <v>0</v>
      </c>
      <c r="Z64" s="611"/>
      <c r="AA64" s="611">
        <v>0</v>
      </c>
      <c r="AB64" s="476">
        <f t="shared" si="6"/>
        <v>-221089.2</v>
      </c>
      <c r="AC64" s="601"/>
      <c r="AD64" s="476">
        <v>-221089.2</v>
      </c>
      <c r="AE64" s="476"/>
      <c r="AF64" s="476">
        <f t="shared" si="4"/>
        <v>0</v>
      </c>
      <c r="AG64" s="537">
        <f t="shared" si="5"/>
        <v>0</v>
      </c>
      <c r="AH64" s="474">
        <f t="shared" si="3"/>
        <v>-221089.2</v>
      </c>
      <c r="AI64" s="591"/>
    </row>
    <row r="65" spans="1:37" x14ac:dyDescent="0.45">
      <c r="A65" s="691" t="s">
        <v>45</v>
      </c>
      <c r="B65" s="609">
        <v>346813.52830000012</v>
      </c>
      <c r="C65" s="610"/>
      <c r="D65" s="609">
        <v>143727.07</v>
      </c>
      <c r="E65" s="615">
        <v>129704.09999999999</v>
      </c>
      <c r="F65" s="615">
        <f>203086.46</f>
        <v>203086.46</v>
      </c>
      <c r="G65" s="616">
        <v>128625.68000000001</v>
      </c>
      <c r="H65" s="615">
        <v>129704.1</v>
      </c>
      <c r="I65" s="615">
        <v>129006.40999999999</v>
      </c>
      <c r="J65" s="615">
        <f>128625.68</f>
        <v>128625.68</v>
      </c>
      <c r="K65" s="617">
        <v>132021.99</v>
      </c>
      <c r="L65" s="617">
        <v>261028.4</v>
      </c>
      <c r="M65" s="617">
        <v>137922.29</v>
      </c>
      <c r="N65" s="617"/>
      <c r="O65" s="612">
        <v>157442.28</v>
      </c>
      <c r="P65" s="611"/>
      <c r="Q65" s="611">
        <v>844741.57000000007</v>
      </c>
      <c r="R65" s="611">
        <v>295364.57</v>
      </c>
      <c r="S65" s="611">
        <v>194807.51</v>
      </c>
      <c r="T65" s="611"/>
      <c r="U65" s="611">
        <v>274412.33</v>
      </c>
      <c r="V65" s="611">
        <v>194807.51</v>
      </c>
      <c r="W65" s="611">
        <v>237747.77</v>
      </c>
      <c r="X65" s="611"/>
      <c r="Y65" s="611">
        <v>226784.2</v>
      </c>
      <c r="Z65" s="611"/>
      <c r="AA65" s="611">
        <v>203831.97999999998</v>
      </c>
      <c r="AB65" s="476">
        <f t="shared" si="6"/>
        <v>1787517.8483000002</v>
      </c>
      <c r="AC65" s="601"/>
      <c r="AD65" s="476">
        <v>346813.52830000012</v>
      </c>
      <c r="AE65" s="476"/>
      <c r="AF65" s="476">
        <f t="shared" si="4"/>
        <v>2797048.1100000003</v>
      </c>
      <c r="AG65" s="537">
        <f t="shared" si="5"/>
        <v>1356343.79</v>
      </c>
      <c r="AH65" s="474">
        <f t="shared" si="3"/>
        <v>1787517.8483000007</v>
      </c>
      <c r="AI65" s="591"/>
    </row>
    <row r="66" spans="1:37" x14ac:dyDescent="0.45">
      <c r="A66" s="691" t="s">
        <v>191</v>
      </c>
      <c r="B66" s="609">
        <v>-29297.360000000015</v>
      </c>
      <c r="C66" s="610"/>
      <c r="D66" s="609"/>
      <c r="E66" s="615">
        <v>0</v>
      </c>
      <c r="F66" s="615"/>
      <c r="G66" s="616">
        <v>0</v>
      </c>
      <c r="H66" s="615"/>
      <c r="I66" s="615">
        <v>0</v>
      </c>
      <c r="J66" s="615"/>
      <c r="K66" s="617">
        <v>0</v>
      </c>
      <c r="L66" s="617"/>
      <c r="M66" s="617">
        <v>0</v>
      </c>
      <c r="N66" s="617"/>
      <c r="O66" s="612">
        <v>0</v>
      </c>
      <c r="P66" s="611"/>
      <c r="Q66" s="611">
        <v>0</v>
      </c>
      <c r="R66" s="611"/>
      <c r="S66" s="611">
        <v>0</v>
      </c>
      <c r="T66" s="611"/>
      <c r="U66" s="611">
        <v>0</v>
      </c>
      <c r="V66" s="611"/>
      <c r="W66" s="611">
        <v>0</v>
      </c>
      <c r="X66" s="611"/>
      <c r="Y66" s="611">
        <v>0</v>
      </c>
      <c r="Z66" s="611"/>
      <c r="AA66" s="611">
        <v>0</v>
      </c>
      <c r="AB66" s="476">
        <f t="shared" si="6"/>
        <v>-29297.360000000015</v>
      </c>
      <c r="AC66" s="601"/>
      <c r="AD66" s="476">
        <v>-29297.360000000015</v>
      </c>
      <c r="AE66" s="476"/>
      <c r="AF66" s="476">
        <f t="shared" si="4"/>
        <v>0</v>
      </c>
      <c r="AG66" s="537">
        <f t="shared" si="5"/>
        <v>0</v>
      </c>
      <c r="AH66" s="474">
        <f t="shared" si="3"/>
        <v>-29297.360000000015</v>
      </c>
      <c r="AI66" s="591"/>
    </row>
    <row r="67" spans="1:37" x14ac:dyDescent="0.45">
      <c r="A67" s="691" t="s">
        <v>309</v>
      </c>
      <c r="B67" s="619">
        <v>26266.249999999978</v>
      </c>
      <c r="C67" s="610"/>
      <c r="D67" s="609"/>
      <c r="E67" s="615">
        <v>56699.27</v>
      </c>
      <c r="F67" s="615">
        <f>26266.25+56699.27</f>
        <v>82965.51999999999</v>
      </c>
      <c r="G67" s="616">
        <v>-35212.46</v>
      </c>
      <c r="H67" s="615"/>
      <c r="I67" s="615">
        <v>0</v>
      </c>
      <c r="J67" s="615"/>
      <c r="K67" s="617">
        <v>0</v>
      </c>
      <c r="L67" s="617"/>
      <c r="M67" s="617">
        <v>40909.670000000006</v>
      </c>
      <c r="N67" s="617"/>
      <c r="O67" s="612">
        <v>-6136.51</v>
      </c>
      <c r="P67" s="611"/>
      <c r="Q67" s="611">
        <v>8342.59</v>
      </c>
      <c r="R67" s="611">
        <v>7903.29</v>
      </c>
      <c r="S67" s="611">
        <v>41235.199999999997</v>
      </c>
      <c r="T67" s="611">
        <v>41235.199999999997</v>
      </c>
      <c r="U67" s="611">
        <v>17934.7</v>
      </c>
      <c r="V67" s="611"/>
      <c r="W67" s="611">
        <v>2155.44</v>
      </c>
      <c r="X67" s="611">
        <v>20090.14</v>
      </c>
      <c r="Y67" s="611">
        <v>45971.37000000001</v>
      </c>
      <c r="Z67" s="611">
        <v>45971.37</v>
      </c>
      <c r="AA67" s="611">
        <v>32546.09</v>
      </c>
      <c r="AB67" s="476">
        <f t="shared" si="6"/>
        <v>32546.09</v>
      </c>
      <c r="AC67" s="601"/>
      <c r="AD67" s="476">
        <v>26266.249999999978</v>
      </c>
      <c r="AE67" s="476"/>
      <c r="AF67" s="476">
        <f t="shared" si="4"/>
        <v>204445.36000000002</v>
      </c>
      <c r="AG67" s="537">
        <f t="shared" si="5"/>
        <v>198165.51999999996</v>
      </c>
      <c r="AH67" s="474">
        <f t="shared" si="3"/>
        <v>32546.090000000026</v>
      </c>
      <c r="AI67" s="591"/>
    </row>
    <row r="68" spans="1:37" x14ac:dyDescent="0.45">
      <c r="A68" s="691" t="s">
        <v>197</v>
      </c>
      <c r="B68" s="609">
        <v>-2.9103830456733704E-11</v>
      </c>
      <c r="C68" s="610"/>
      <c r="D68" s="609"/>
      <c r="E68" s="615">
        <v>0</v>
      </c>
      <c r="F68" s="615"/>
      <c r="G68" s="616">
        <v>0</v>
      </c>
      <c r="H68" s="615"/>
      <c r="I68" s="615">
        <v>0</v>
      </c>
      <c r="J68" s="615"/>
      <c r="K68" s="617">
        <v>0</v>
      </c>
      <c r="L68" s="617"/>
      <c r="M68" s="617">
        <v>0</v>
      </c>
      <c r="N68" s="617"/>
      <c r="O68" s="612">
        <v>0</v>
      </c>
      <c r="P68" s="611"/>
      <c r="Q68" s="611">
        <v>0</v>
      </c>
      <c r="R68" s="611"/>
      <c r="S68" s="611">
        <v>0</v>
      </c>
      <c r="T68" s="611"/>
      <c r="U68" s="611">
        <v>0</v>
      </c>
      <c r="V68" s="611"/>
      <c r="W68" s="611">
        <v>0</v>
      </c>
      <c r="X68" s="611"/>
      <c r="Y68" s="611">
        <v>0</v>
      </c>
      <c r="Z68" s="611"/>
      <c r="AA68" s="611">
        <v>0</v>
      </c>
      <c r="AB68" s="476">
        <f t="shared" si="6"/>
        <v>-2.9103830456733704E-11</v>
      </c>
      <c r="AC68" s="601"/>
      <c r="AD68" s="476">
        <v>-2.9103830456733704E-11</v>
      </c>
      <c r="AE68" s="476"/>
      <c r="AF68" s="476">
        <f t="shared" si="4"/>
        <v>0</v>
      </c>
      <c r="AG68" s="537">
        <f t="shared" si="5"/>
        <v>0</v>
      </c>
      <c r="AH68" s="474">
        <f t="shared" si="3"/>
        <v>-2.9103830456733704E-11</v>
      </c>
      <c r="AI68" s="591"/>
    </row>
    <row r="69" spans="1:37" x14ac:dyDescent="0.45">
      <c r="A69" s="691" t="s">
        <v>80</v>
      </c>
      <c r="B69" s="609">
        <v>-2184.6839999999829</v>
      </c>
      <c r="C69" s="610"/>
      <c r="D69" s="609"/>
      <c r="E69" s="615">
        <v>0</v>
      </c>
      <c r="F69" s="615"/>
      <c r="G69" s="638">
        <v>0</v>
      </c>
      <c r="H69" s="615"/>
      <c r="I69" s="615">
        <v>0</v>
      </c>
      <c r="J69" s="615"/>
      <c r="K69" s="617">
        <v>0</v>
      </c>
      <c r="L69" s="617"/>
      <c r="M69" s="617">
        <v>0</v>
      </c>
      <c r="N69" s="617"/>
      <c r="O69" s="612">
        <v>0</v>
      </c>
      <c r="P69" s="611"/>
      <c r="Q69" s="611">
        <v>0</v>
      </c>
      <c r="R69" s="611"/>
      <c r="S69" s="611">
        <v>0</v>
      </c>
      <c r="T69" s="611"/>
      <c r="U69" s="611">
        <v>0</v>
      </c>
      <c r="V69" s="611"/>
      <c r="W69" s="611">
        <v>0</v>
      </c>
      <c r="X69" s="611"/>
      <c r="Y69" s="611">
        <v>0</v>
      </c>
      <c r="Z69" s="611"/>
      <c r="AA69" s="611">
        <v>0</v>
      </c>
      <c r="AB69" s="476">
        <f t="shared" si="6"/>
        <v>-2184.6839999999829</v>
      </c>
      <c r="AC69" s="601"/>
      <c r="AD69" s="476">
        <v>-2184.6839999999829</v>
      </c>
      <c r="AE69" s="476"/>
      <c r="AF69" s="476">
        <f t="shared" si="4"/>
        <v>0</v>
      </c>
      <c r="AG69" s="537">
        <f t="shared" si="5"/>
        <v>0</v>
      </c>
      <c r="AH69" s="474">
        <f t="shared" si="3"/>
        <v>-2184.6839999999829</v>
      </c>
      <c r="AI69" s="591"/>
    </row>
    <row r="70" spans="1:37" x14ac:dyDescent="0.45">
      <c r="A70" s="692" t="s">
        <v>76</v>
      </c>
      <c r="B70" s="609">
        <v>-6676.2799999998833</v>
      </c>
      <c r="C70" s="620"/>
      <c r="D70" s="621"/>
      <c r="E70" s="609">
        <v>0</v>
      </c>
      <c r="F70" s="609"/>
      <c r="G70" s="611">
        <v>0</v>
      </c>
      <c r="H70" s="615"/>
      <c r="I70" s="622">
        <v>0</v>
      </c>
      <c r="J70" s="615"/>
      <c r="K70" s="617">
        <v>0</v>
      </c>
      <c r="L70" s="623"/>
      <c r="M70" s="617">
        <v>0</v>
      </c>
      <c r="N70" s="617"/>
      <c r="O70" s="612">
        <v>0</v>
      </c>
      <c r="P70" s="611"/>
      <c r="Q70" s="611">
        <v>0</v>
      </c>
      <c r="R70" s="611"/>
      <c r="S70" s="611">
        <v>0</v>
      </c>
      <c r="T70" s="611"/>
      <c r="U70" s="611">
        <v>0</v>
      </c>
      <c r="V70" s="611"/>
      <c r="W70" s="611">
        <v>0</v>
      </c>
      <c r="X70" s="611"/>
      <c r="Y70" s="611">
        <v>0</v>
      </c>
      <c r="Z70" s="611"/>
      <c r="AA70" s="611">
        <v>0</v>
      </c>
      <c r="AB70" s="476">
        <f t="shared" si="6"/>
        <v>-6676.2799999998833</v>
      </c>
      <c r="AC70" s="601"/>
      <c r="AD70" s="476">
        <v>-6676.2799999998833</v>
      </c>
      <c r="AE70" s="476"/>
      <c r="AF70" s="476">
        <f t="shared" ref="AF70:AF76" si="7">E70+G70+I70+K70+M70+O70+Q70+S70+U70+W70+Y70+AA70</f>
        <v>0</v>
      </c>
      <c r="AG70" s="537">
        <f t="shared" ref="AG70:AG101" si="8">D70+F70+H70+J70+L70+N70+P70+R70+T70+V70+X70+Z70</f>
        <v>0</v>
      </c>
      <c r="AH70" s="474">
        <f t="shared" si="3"/>
        <v>-6676.2799999998833</v>
      </c>
      <c r="AI70" s="591"/>
    </row>
    <row r="71" spans="1:37" x14ac:dyDescent="0.45">
      <c r="A71" s="693" t="s">
        <v>61</v>
      </c>
      <c r="B71" s="609">
        <v>575534.2699999999</v>
      </c>
      <c r="C71" s="620"/>
      <c r="D71" s="621"/>
      <c r="E71" s="621">
        <v>162437.84000000003</v>
      </c>
      <c r="F71" s="624"/>
      <c r="G71" s="639">
        <v>153292.75</v>
      </c>
      <c r="H71" s="622">
        <f>354288.1+153292.75</f>
        <v>507580.85</v>
      </c>
      <c r="I71" s="621">
        <v>156188.87</v>
      </c>
      <c r="J71" s="622"/>
      <c r="K71" s="617">
        <v>156498.96000000002</v>
      </c>
      <c r="L71" s="617">
        <v>156188.87</v>
      </c>
      <c r="M71" s="617">
        <v>165161.91</v>
      </c>
      <c r="N71" s="617">
        <v>156498.96</v>
      </c>
      <c r="O71" s="612">
        <v>163310.46</v>
      </c>
      <c r="P71" s="611">
        <f>165161.91</f>
        <v>165161.91</v>
      </c>
      <c r="Q71" s="611">
        <v>47412.65</v>
      </c>
      <c r="R71" s="611">
        <v>163310.46</v>
      </c>
      <c r="S71" s="611">
        <v>403744.31</v>
      </c>
      <c r="T71" s="611">
        <v>47412.65</v>
      </c>
      <c r="U71" s="611">
        <v>196518.97999999998</v>
      </c>
      <c r="V71" s="611"/>
      <c r="W71" s="611">
        <v>160994.29</v>
      </c>
      <c r="X71" s="611">
        <f>403744.31</f>
        <v>403744.31</v>
      </c>
      <c r="Y71" s="611">
        <v>197194.96</v>
      </c>
      <c r="Z71" s="618">
        <v>197194.96</v>
      </c>
      <c r="AA71" s="611">
        <v>201022.73000000004</v>
      </c>
      <c r="AB71" s="476">
        <f t="shared" si="6"/>
        <v>942220.00999999978</v>
      </c>
      <c r="AC71" s="601"/>
      <c r="AD71" s="476">
        <v>575534.2699999999</v>
      </c>
      <c r="AE71" s="476"/>
      <c r="AF71" s="476">
        <f t="shared" si="7"/>
        <v>2163778.71</v>
      </c>
      <c r="AG71" s="537">
        <f t="shared" si="8"/>
        <v>1797092.97</v>
      </c>
      <c r="AH71" s="474">
        <f t="shared" ref="AH71:AH112" si="9">AD71-AE71+AF71-AG71</f>
        <v>942220.01</v>
      </c>
      <c r="AI71" s="591"/>
    </row>
    <row r="72" spans="1:37" x14ac:dyDescent="0.45">
      <c r="A72" s="693" t="s">
        <v>70</v>
      </c>
      <c r="B72" s="609">
        <v>272074.71000000002</v>
      </c>
      <c r="C72" s="620"/>
      <c r="D72" s="621"/>
      <c r="E72" s="621">
        <v>222185.36000000004</v>
      </c>
      <c r="F72" s="621"/>
      <c r="G72" s="625">
        <v>211872.66</v>
      </c>
      <c r="H72" s="621"/>
      <c r="I72" s="621">
        <v>198814.07</v>
      </c>
      <c r="J72" s="609"/>
      <c r="K72" s="617">
        <v>206526.18</v>
      </c>
      <c r="L72" s="617"/>
      <c r="M72" s="617">
        <v>222888.23</v>
      </c>
      <c r="N72" s="617"/>
      <c r="O72" s="612">
        <v>219455.11</v>
      </c>
      <c r="P72" s="611"/>
      <c r="Q72" s="611">
        <v>219283.58</v>
      </c>
      <c r="R72" s="611"/>
      <c r="S72" s="611">
        <v>278673.53000000003</v>
      </c>
      <c r="T72" s="611"/>
      <c r="U72" s="611">
        <v>368764.91000000003</v>
      </c>
      <c r="V72" s="611"/>
      <c r="W72" s="611">
        <v>307212.13</v>
      </c>
      <c r="X72" s="611"/>
      <c r="Y72" s="611">
        <v>730973.79</v>
      </c>
      <c r="Z72" s="611"/>
      <c r="AA72" s="611">
        <v>417898.46</v>
      </c>
      <c r="AB72" s="476">
        <f t="shared" si="6"/>
        <v>3876622.7199999997</v>
      </c>
      <c r="AC72" s="601"/>
      <c r="AD72" s="476">
        <v>272074.71000000002</v>
      </c>
      <c r="AE72" s="476"/>
      <c r="AF72" s="476">
        <f t="shared" si="7"/>
        <v>3604548.01</v>
      </c>
      <c r="AG72" s="537">
        <f t="shared" si="8"/>
        <v>0</v>
      </c>
      <c r="AH72" s="474">
        <f t="shared" si="9"/>
        <v>3876622.7199999997</v>
      </c>
      <c r="AI72" s="591"/>
    </row>
    <row r="73" spans="1:37" x14ac:dyDescent="0.45">
      <c r="A73" s="694" t="s">
        <v>58</v>
      </c>
      <c r="B73" s="474">
        <v>807623.729999998</v>
      </c>
      <c r="C73" s="484"/>
      <c r="D73" s="485"/>
      <c r="E73" s="485">
        <v>597196.28</v>
      </c>
      <c r="F73" s="485"/>
      <c r="G73" s="490">
        <v>572242.09</v>
      </c>
      <c r="H73" s="485">
        <f>572242.09+1404820.01</f>
        <v>1977062.1</v>
      </c>
      <c r="I73" s="485">
        <v>628578.52</v>
      </c>
      <c r="J73" s="485">
        <f>628578.52</f>
        <v>628578.52</v>
      </c>
      <c r="K73" s="487">
        <v>702686.81</v>
      </c>
      <c r="L73" s="474">
        <v>702686.81</v>
      </c>
      <c r="M73" s="474">
        <v>585913.36</v>
      </c>
      <c r="N73" s="481">
        <v>585913.36</v>
      </c>
      <c r="O73" s="476">
        <v>630303.11</v>
      </c>
      <c r="P73" s="477">
        <f>630303.11</f>
        <v>630303.11</v>
      </c>
      <c r="Q73" s="477">
        <v>627404.19000000006</v>
      </c>
      <c r="R73" s="477">
        <v>627404.18999999994</v>
      </c>
      <c r="S73" s="477">
        <v>840805.87</v>
      </c>
      <c r="T73" s="477"/>
      <c r="U73" s="477">
        <v>665591.79</v>
      </c>
      <c r="V73" s="477">
        <v>1506397.6600000001</v>
      </c>
      <c r="W73" s="477">
        <v>675152.43</v>
      </c>
      <c r="X73" s="477">
        <v>675152.43</v>
      </c>
      <c r="Y73" s="477">
        <v>629356.27</v>
      </c>
      <c r="Z73" s="477">
        <f>629356.27</f>
        <v>629356.27</v>
      </c>
      <c r="AA73" s="477">
        <v>726802.03</v>
      </c>
      <c r="AB73" s="476">
        <f t="shared" si="6"/>
        <v>726802.0299999977</v>
      </c>
      <c r="AC73" s="601"/>
      <c r="AD73" s="476">
        <v>807623.729999998</v>
      </c>
      <c r="AE73" s="476"/>
      <c r="AF73" s="476">
        <f t="shared" si="7"/>
        <v>7882032.7500000009</v>
      </c>
      <c r="AG73" s="537">
        <f t="shared" si="8"/>
        <v>7962854.4499999993</v>
      </c>
      <c r="AH73" s="474">
        <f t="shared" si="9"/>
        <v>726802.02999999933</v>
      </c>
      <c r="AI73" s="682"/>
    </row>
    <row r="74" spans="1:37" x14ac:dyDescent="0.45">
      <c r="A74" s="693" t="s">
        <v>194</v>
      </c>
      <c r="B74" s="609">
        <v>-115236.29000000001</v>
      </c>
      <c r="C74" s="620"/>
      <c r="D74" s="621"/>
      <c r="E74" s="621">
        <v>0</v>
      </c>
      <c r="F74" s="621"/>
      <c r="G74" s="625">
        <v>0</v>
      </c>
      <c r="H74" s="621"/>
      <c r="I74" s="621">
        <v>0</v>
      </c>
      <c r="J74" s="621"/>
      <c r="K74" s="624">
        <v>0</v>
      </c>
      <c r="L74" s="626"/>
      <c r="M74" s="621">
        <v>0</v>
      </c>
      <c r="N74" s="627"/>
      <c r="O74" s="612">
        <v>0</v>
      </c>
      <c r="P74" s="611"/>
      <c r="Q74" s="611">
        <v>0</v>
      </c>
      <c r="R74" s="611"/>
      <c r="S74" s="611">
        <v>0</v>
      </c>
      <c r="T74" s="611"/>
      <c r="U74" s="611">
        <v>0</v>
      </c>
      <c r="V74" s="611"/>
      <c r="W74" s="611">
        <v>0</v>
      </c>
      <c r="X74" s="611"/>
      <c r="Y74" s="611">
        <v>0</v>
      </c>
      <c r="Z74" s="611"/>
      <c r="AA74" s="611">
        <v>0</v>
      </c>
      <c r="AB74" s="476">
        <f t="shared" si="6"/>
        <v>-115236.29000000001</v>
      </c>
      <c r="AC74" s="601"/>
      <c r="AD74" s="476">
        <v>-115236.29000000001</v>
      </c>
      <c r="AE74" s="476"/>
      <c r="AF74" s="476">
        <f t="shared" si="7"/>
        <v>0</v>
      </c>
      <c r="AG74" s="537">
        <f t="shared" si="8"/>
        <v>0</v>
      </c>
      <c r="AH74" s="474">
        <f t="shared" si="9"/>
        <v>-115236.29000000001</v>
      </c>
      <c r="AI74" s="682"/>
    </row>
    <row r="75" spans="1:37" x14ac:dyDescent="0.45">
      <c r="A75" s="693" t="s">
        <v>27</v>
      </c>
      <c r="B75" s="609">
        <v>141102.53999999873</v>
      </c>
      <c r="C75" s="620"/>
      <c r="D75" s="621"/>
      <c r="E75" s="621">
        <v>22307</v>
      </c>
      <c r="F75" s="621"/>
      <c r="G75" s="625">
        <v>71061.490000000005</v>
      </c>
      <c r="H75" s="621"/>
      <c r="I75" s="609">
        <v>46384</v>
      </c>
      <c r="J75" s="621"/>
      <c r="K75" s="621">
        <v>46984.490000000005</v>
      </c>
      <c r="L75" s="621"/>
      <c r="M75" s="621">
        <v>46984.490000000005</v>
      </c>
      <c r="N75" s="621"/>
      <c r="O75" s="612">
        <v>46384</v>
      </c>
      <c r="P75" s="611"/>
      <c r="Q75" s="611">
        <v>28176.5</v>
      </c>
      <c r="R75" s="611"/>
      <c r="S75" s="611">
        <v>63811.989999999991</v>
      </c>
      <c r="T75" s="611"/>
      <c r="U75" s="611">
        <v>40473.490000000005</v>
      </c>
      <c r="V75" s="611"/>
      <c r="W75" s="611">
        <v>40473.49</v>
      </c>
      <c r="X75" s="611"/>
      <c r="Y75" s="611">
        <v>38671.990000000005</v>
      </c>
      <c r="Z75" s="611"/>
      <c r="AA75" s="611">
        <v>40473.49</v>
      </c>
      <c r="AB75" s="476">
        <f t="shared" si="6"/>
        <v>673288.95999999868</v>
      </c>
      <c r="AC75" s="601"/>
      <c r="AD75" s="476">
        <v>141102.53999999873</v>
      </c>
      <c r="AE75" s="476"/>
      <c r="AF75" s="476">
        <f t="shared" si="7"/>
        <v>532186.41999999993</v>
      </c>
      <c r="AG75" s="537">
        <f t="shared" si="8"/>
        <v>0</v>
      </c>
      <c r="AH75" s="474">
        <f t="shared" si="9"/>
        <v>673288.95999999868</v>
      </c>
      <c r="AI75" s="682"/>
    </row>
    <row r="76" spans="1:37" x14ac:dyDescent="0.45">
      <c r="A76" s="692" t="s">
        <v>340</v>
      </c>
      <c r="B76" s="609">
        <v>553282.38200000057</v>
      </c>
      <c r="C76" s="610"/>
      <c r="D76" s="609"/>
      <c r="E76" s="609">
        <v>453467.64</v>
      </c>
      <c r="F76" s="609">
        <f>453467.64</f>
        <v>453467.64</v>
      </c>
      <c r="G76" s="611">
        <v>452685.83999999997</v>
      </c>
      <c r="H76" s="609"/>
      <c r="I76" s="609">
        <v>462538.49</v>
      </c>
      <c r="J76" s="609">
        <f>452685.84</f>
        <v>452685.84</v>
      </c>
      <c r="K76" s="614">
        <v>457378.5</v>
      </c>
      <c r="L76" s="609">
        <v>457378.5</v>
      </c>
      <c r="M76" s="609">
        <v>480202.63999999996</v>
      </c>
      <c r="N76" s="609">
        <v>462538.49</v>
      </c>
      <c r="O76" s="612">
        <v>478463.16</v>
      </c>
      <c r="P76" s="611">
        <f>553282.38+480202.64+478463.16</f>
        <v>1511948.18</v>
      </c>
      <c r="Q76" s="611">
        <v>922926.86</v>
      </c>
      <c r="R76" s="611"/>
      <c r="S76" s="611">
        <v>214295.3</v>
      </c>
      <c r="T76" s="611">
        <v>633186.86</v>
      </c>
      <c r="U76" s="611">
        <v>460117.43999999994</v>
      </c>
      <c r="V76" s="611">
        <v>964152.74</v>
      </c>
      <c r="W76" s="611">
        <v>412143.05</v>
      </c>
      <c r="X76" s="611">
        <v>412143.05</v>
      </c>
      <c r="Y76" s="611">
        <v>558224.85</v>
      </c>
      <c r="Z76" s="611">
        <v>558224.85</v>
      </c>
      <c r="AA76" s="611">
        <v>690089.34</v>
      </c>
      <c r="AB76" s="476">
        <f t="shared" si="6"/>
        <v>690089.34200000018</v>
      </c>
      <c r="AC76" s="601"/>
      <c r="AD76" s="476">
        <v>553282.38200000057</v>
      </c>
      <c r="AE76" s="476"/>
      <c r="AF76" s="476">
        <f t="shared" si="7"/>
        <v>6042533.1099999985</v>
      </c>
      <c r="AG76" s="537">
        <f t="shared" si="8"/>
        <v>5905726.1499999994</v>
      </c>
      <c r="AH76" s="474">
        <f t="shared" si="9"/>
        <v>690089.34199999925</v>
      </c>
      <c r="AI76" s="682"/>
    </row>
    <row r="77" spans="1:37" x14ac:dyDescent="0.45">
      <c r="A77" s="692" t="s">
        <v>341</v>
      </c>
      <c r="B77" s="609">
        <v>7677652.5360000068</v>
      </c>
      <c r="C77" s="610"/>
      <c r="D77" s="609">
        <v>483169.56000000006</v>
      </c>
      <c r="E77" s="609">
        <v>5331621.83</v>
      </c>
      <c r="F77" s="609">
        <f>469351.36+48779.61+585974.75+477029.46+376990.41+286583+19137.22+191717.31+633815.35+921863.77+276440.85</f>
        <v>4287683.09</v>
      </c>
      <c r="G77" s="611">
        <v>5625499.4400000004</v>
      </c>
      <c r="H77" s="609">
        <v>3173841.2700000005</v>
      </c>
      <c r="I77" s="621">
        <v>5259024.63</v>
      </c>
      <c r="J77" s="609">
        <v>5235385.82</v>
      </c>
      <c r="K77" s="609">
        <v>5306627.4399999995</v>
      </c>
      <c r="L77" s="609">
        <v>9596049.6000000015</v>
      </c>
      <c r="M77" s="609">
        <v>5274376.25</v>
      </c>
      <c r="N77" s="609">
        <f>549260.35+654183.53+379757.91+130340.13+734477.59</f>
        <v>2448019.5099999998</v>
      </c>
      <c r="O77" s="612">
        <v>5186815.7</v>
      </c>
      <c r="P77" s="893">
        <v>6393128.879999999</v>
      </c>
      <c r="Q77" s="611">
        <v>5071610.25</v>
      </c>
      <c r="R77" s="611">
        <v>2902016.85</v>
      </c>
      <c r="S77" s="611">
        <v>5731601.0700000003</v>
      </c>
      <c r="T77" s="611">
        <v>7971593.8100000005</v>
      </c>
      <c r="U77" s="611">
        <v>5404675.209999999</v>
      </c>
      <c r="V77" s="611">
        <v>1440135.84</v>
      </c>
      <c r="W77" s="611">
        <v>4971821.3</v>
      </c>
      <c r="X77" s="611">
        <v>12802195.51</v>
      </c>
      <c r="Y77" s="611">
        <v>6641398.5900000008</v>
      </c>
      <c r="Z77" s="611">
        <f>47059.28+1681094.36+232727.78+1187550.24+541736.37+1040176.07+64416.36</f>
        <v>4794760.4600000009</v>
      </c>
      <c r="AA77" s="611">
        <v>5561533.2999999998</v>
      </c>
      <c r="AB77" s="476">
        <f t="shared" ref="AB77:AB111" si="10">B77-D77+E77-F77+G77-H77+I77-J77+K77-L77+M77-N77+O77-P77+Q77-R77+S77-T77+U77-V77+W77-X77+Y77-Z77+AA77</f>
        <v>11516277.346000005</v>
      </c>
      <c r="AC77" s="601"/>
      <c r="AD77" s="476">
        <v>7677652.5360000068</v>
      </c>
      <c r="AE77" s="476"/>
      <c r="AF77" s="476">
        <f t="shared" ref="AF77:AF111" si="11">E77+G77+I77+K77+M77+O77+Q77+S77+U77+W77+Y77+AA77</f>
        <v>65366605.00999999</v>
      </c>
      <c r="AG77" s="537">
        <f t="shared" si="8"/>
        <v>61527980.200000003</v>
      </c>
      <c r="AH77" s="474">
        <f t="shared" si="9"/>
        <v>11516277.346000001</v>
      </c>
      <c r="AI77" s="682"/>
      <c r="AJ77" s="327"/>
      <c r="AK77" s="591"/>
    </row>
    <row r="78" spans="1:37" x14ac:dyDescent="0.45">
      <c r="A78" s="693" t="s">
        <v>342</v>
      </c>
      <c r="B78" s="609">
        <v>-2.5465851649641991E-11</v>
      </c>
      <c r="C78" s="610"/>
      <c r="D78" s="609"/>
      <c r="E78" s="609">
        <v>0</v>
      </c>
      <c r="F78" s="609"/>
      <c r="G78" s="611"/>
      <c r="H78" s="609"/>
      <c r="I78" s="609">
        <v>0</v>
      </c>
      <c r="J78" s="621"/>
      <c r="K78" s="621">
        <v>0</v>
      </c>
      <c r="L78" s="621"/>
      <c r="M78" s="621">
        <v>1836.05</v>
      </c>
      <c r="N78" s="621"/>
      <c r="O78" s="612">
        <v>0</v>
      </c>
      <c r="P78" s="611"/>
      <c r="Q78" s="611">
        <v>0</v>
      </c>
      <c r="R78" s="611"/>
      <c r="S78" s="611">
        <v>0</v>
      </c>
      <c r="T78" s="611"/>
      <c r="U78" s="611"/>
      <c r="V78" s="611"/>
      <c r="W78" s="611">
        <v>0</v>
      </c>
      <c r="X78" s="611"/>
      <c r="Y78" s="611">
        <v>0</v>
      </c>
      <c r="Z78" s="618"/>
      <c r="AA78" s="611">
        <v>0</v>
      </c>
      <c r="AB78" s="476">
        <f t="shared" si="10"/>
        <v>1836.0499999999745</v>
      </c>
      <c r="AC78" s="601"/>
      <c r="AD78" s="476">
        <v>-2.5465851649641991E-11</v>
      </c>
      <c r="AE78" s="476"/>
      <c r="AF78" s="476">
        <f t="shared" si="11"/>
        <v>1836.05</v>
      </c>
      <c r="AG78" s="537">
        <f t="shared" si="8"/>
        <v>0</v>
      </c>
      <c r="AH78" s="474">
        <f t="shared" si="9"/>
        <v>1836.0499999999745</v>
      </c>
      <c r="AI78" s="682"/>
    </row>
    <row r="79" spans="1:37" x14ac:dyDescent="0.45">
      <c r="A79" s="692" t="s">
        <v>369</v>
      </c>
      <c r="B79" s="609">
        <v>834.78</v>
      </c>
      <c r="C79" s="610"/>
      <c r="D79" s="609"/>
      <c r="E79" s="609">
        <v>0</v>
      </c>
      <c r="F79" s="609"/>
      <c r="G79" s="611"/>
      <c r="H79" s="609"/>
      <c r="I79" s="621">
        <v>0</v>
      </c>
      <c r="J79" s="609"/>
      <c r="K79" s="609">
        <v>0</v>
      </c>
      <c r="L79" s="609"/>
      <c r="M79" s="609">
        <v>0</v>
      </c>
      <c r="N79" s="609"/>
      <c r="O79" s="612">
        <v>0</v>
      </c>
      <c r="P79" s="611"/>
      <c r="Q79" s="611">
        <v>0</v>
      </c>
      <c r="R79" s="611"/>
      <c r="S79" s="611">
        <v>0</v>
      </c>
      <c r="T79" s="611"/>
      <c r="U79" s="611">
        <v>0</v>
      </c>
      <c r="V79" s="611"/>
      <c r="W79" s="611">
        <v>0</v>
      </c>
      <c r="X79" s="611"/>
      <c r="Y79" s="611">
        <v>0</v>
      </c>
      <c r="Z79" s="611"/>
      <c r="AA79" s="611">
        <v>0</v>
      </c>
      <c r="AB79" s="476">
        <f t="shared" si="10"/>
        <v>834.78</v>
      </c>
      <c r="AC79" s="601"/>
      <c r="AD79" s="476">
        <v>834.78</v>
      </c>
      <c r="AE79" s="476"/>
      <c r="AF79" s="476">
        <f t="shared" si="11"/>
        <v>0</v>
      </c>
      <c r="AG79" s="537">
        <f t="shared" si="8"/>
        <v>0</v>
      </c>
      <c r="AH79" s="474">
        <f t="shared" si="9"/>
        <v>834.78</v>
      </c>
      <c r="AI79" s="682"/>
    </row>
    <row r="80" spans="1:37" x14ac:dyDescent="0.45">
      <c r="A80" s="693" t="s">
        <v>370</v>
      </c>
      <c r="B80" s="609">
        <v>43897.699999999051</v>
      </c>
      <c r="C80" s="620"/>
      <c r="D80" s="621"/>
      <c r="E80" s="621">
        <v>143444.76999999999</v>
      </c>
      <c r="F80" s="621">
        <v>143446.76999999999</v>
      </c>
      <c r="G80" s="625">
        <v>126944.54000000001</v>
      </c>
      <c r="H80" s="621"/>
      <c r="I80" s="621">
        <v>137297.47</v>
      </c>
      <c r="J80" s="621">
        <f>123944.54+137297.47+3000</f>
        <v>264242.01</v>
      </c>
      <c r="K80" s="621">
        <v>145027.34</v>
      </c>
      <c r="L80" s="621">
        <v>145027.34</v>
      </c>
      <c r="M80" s="621">
        <v>150005.32999999999</v>
      </c>
      <c r="N80" s="621">
        <v>193903.03</v>
      </c>
      <c r="O80" s="612">
        <v>153826.27000000002</v>
      </c>
      <c r="P80" s="611">
        <f>153826.27</f>
        <v>153826.26999999999</v>
      </c>
      <c r="Q80" s="611">
        <v>50198.789999999994</v>
      </c>
      <c r="R80" s="611">
        <v>50198.79</v>
      </c>
      <c r="S80" s="611">
        <v>249997.57</v>
      </c>
      <c r="T80" s="461">
        <v>249997.57</v>
      </c>
      <c r="U80" s="611">
        <v>65925.09</v>
      </c>
      <c r="V80" s="611">
        <v>65925.09</v>
      </c>
      <c r="W80" s="611">
        <v>21373.64</v>
      </c>
      <c r="X80" s="611">
        <v>21373.64</v>
      </c>
      <c r="Y80" s="611">
        <v>0</v>
      </c>
      <c r="Z80" s="611"/>
      <c r="AA80" s="611">
        <v>0</v>
      </c>
      <c r="AB80" s="476">
        <f t="shared" si="10"/>
        <v>-2.0000000009604264</v>
      </c>
      <c r="AC80" s="601"/>
      <c r="AD80" s="476">
        <v>43897.699999999051</v>
      </c>
      <c r="AE80" s="476"/>
      <c r="AF80" s="476">
        <f t="shared" si="11"/>
        <v>1244040.81</v>
      </c>
      <c r="AG80" s="537">
        <f t="shared" si="8"/>
        <v>1287940.51</v>
      </c>
      <c r="AH80" s="474">
        <f t="shared" si="9"/>
        <v>-2.0000000009313226</v>
      </c>
      <c r="AI80" s="682"/>
    </row>
    <row r="81" spans="1:34" x14ac:dyDescent="0.45">
      <c r="A81" s="693" t="s">
        <v>371</v>
      </c>
      <c r="B81" s="609">
        <v>-207956.99000000008</v>
      </c>
      <c r="C81" s="620"/>
      <c r="D81" s="621"/>
      <c r="E81" s="621">
        <v>0</v>
      </c>
      <c r="F81" s="621"/>
      <c r="G81" s="625"/>
      <c r="H81" s="621"/>
      <c r="I81" s="621">
        <v>0</v>
      </c>
      <c r="J81" s="621"/>
      <c r="K81" s="621">
        <v>0</v>
      </c>
      <c r="L81" s="621"/>
      <c r="M81" s="621">
        <v>0</v>
      </c>
      <c r="N81" s="621"/>
      <c r="O81" s="612">
        <v>0</v>
      </c>
      <c r="P81" s="611"/>
      <c r="Q81" s="611">
        <v>0</v>
      </c>
      <c r="R81" s="611"/>
      <c r="S81" s="611">
        <v>0</v>
      </c>
      <c r="T81" s="611"/>
      <c r="U81" s="611">
        <v>0</v>
      </c>
      <c r="V81" s="611"/>
      <c r="W81" s="611">
        <v>0</v>
      </c>
      <c r="X81" s="611"/>
      <c r="Y81" s="611">
        <v>0</v>
      </c>
      <c r="Z81" s="611"/>
      <c r="AA81" s="611">
        <v>0</v>
      </c>
      <c r="AB81" s="476">
        <f t="shared" si="10"/>
        <v>-207956.99000000008</v>
      </c>
      <c r="AC81" s="601"/>
      <c r="AD81" s="476">
        <v>-207956.99000000008</v>
      </c>
      <c r="AE81" s="476"/>
      <c r="AF81" s="476">
        <f t="shared" si="11"/>
        <v>0</v>
      </c>
      <c r="AG81" s="537">
        <f t="shared" si="8"/>
        <v>0</v>
      </c>
      <c r="AH81" s="474">
        <f t="shared" si="9"/>
        <v>-207956.99000000008</v>
      </c>
    </row>
    <row r="82" spans="1:34" x14ac:dyDescent="0.45">
      <c r="A82" s="693" t="s">
        <v>435</v>
      </c>
      <c r="B82" s="609">
        <v>-39944.120000000003</v>
      </c>
      <c r="C82" s="620"/>
      <c r="D82" s="621"/>
      <c r="E82" s="621">
        <v>0</v>
      </c>
      <c r="F82" s="621"/>
      <c r="G82" s="625"/>
      <c r="H82" s="621"/>
      <c r="I82" s="621">
        <v>0</v>
      </c>
      <c r="J82" s="621"/>
      <c r="K82" s="621">
        <v>0</v>
      </c>
      <c r="L82" s="621"/>
      <c r="M82" s="621">
        <v>0</v>
      </c>
      <c r="N82" s="621"/>
      <c r="O82" s="612">
        <v>0</v>
      </c>
      <c r="P82" s="611"/>
      <c r="Q82" s="611">
        <v>0</v>
      </c>
      <c r="R82" s="611"/>
      <c r="S82" s="611">
        <v>0</v>
      </c>
      <c r="T82" s="611"/>
      <c r="U82" s="611">
        <v>0</v>
      </c>
      <c r="V82" s="611"/>
      <c r="W82" s="611">
        <v>0</v>
      </c>
      <c r="X82" s="611"/>
      <c r="Y82" s="611">
        <v>0</v>
      </c>
      <c r="Z82" s="611"/>
      <c r="AA82" s="611">
        <v>0</v>
      </c>
      <c r="AB82" s="476">
        <f t="shared" si="10"/>
        <v>-39944.120000000003</v>
      </c>
      <c r="AC82" s="601"/>
      <c r="AD82" s="476">
        <v>-39944.120000000003</v>
      </c>
      <c r="AE82" s="476"/>
      <c r="AF82" s="476">
        <f t="shared" si="11"/>
        <v>0</v>
      </c>
      <c r="AG82" s="537">
        <f t="shared" si="8"/>
        <v>0</v>
      </c>
      <c r="AH82" s="474">
        <f t="shared" si="9"/>
        <v>-39944.120000000003</v>
      </c>
    </row>
    <row r="83" spans="1:34" x14ac:dyDescent="0.45">
      <c r="A83" s="693" t="s">
        <v>438</v>
      </c>
      <c r="B83" s="609">
        <v>-1120862.76</v>
      </c>
      <c r="C83" s="620"/>
      <c r="D83" s="621"/>
      <c r="E83" s="621">
        <v>0</v>
      </c>
      <c r="F83" s="621"/>
      <c r="G83" s="625"/>
      <c r="H83" s="621"/>
      <c r="I83" s="621">
        <v>0</v>
      </c>
      <c r="J83" s="621"/>
      <c r="K83" s="621">
        <v>0</v>
      </c>
      <c r="L83" s="621"/>
      <c r="M83" s="621">
        <v>0</v>
      </c>
      <c r="N83" s="621"/>
      <c r="O83" s="612">
        <v>0</v>
      </c>
      <c r="P83" s="611"/>
      <c r="Q83" s="611">
        <v>0</v>
      </c>
      <c r="R83" s="611"/>
      <c r="S83" s="611">
        <v>0</v>
      </c>
      <c r="T83" s="611"/>
      <c r="U83" s="611">
        <v>0</v>
      </c>
      <c r="V83" s="611"/>
      <c r="W83" s="611">
        <v>0</v>
      </c>
      <c r="X83" s="611"/>
      <c r="Y83" s="611">
        <v>0</v>
      </c>
      <c r="Z83" s="611"/>
      <c r="AA83" s="611">
        <v>0</v>
      </c>
      <c r="AB83" s="476">
        <f t="shared" si="10"/>
        <v>-1120862.76</v>
      </c>
      <c r="AC83" s="601"/>
      <c r="AD83" s="476">
        <v>-1120862.76</v>
      </c>
      <c r="AE83" s="476"/>
      <c r="AF83" s="476">
        <f t="shared" si="11"/>
        <v>0</v>
      </c>
      <c r="AG83" s="537">
        <f t="shared" si="8"/>
        <v>0</v>
      </c>
      <c r="AH83" s="474">
        <f t="shared" si="9"/>
        <v>-1120862.76</v>
      </c>
    </row>
    <row r="84" spans="1:34" x14ac:dyDescent="0.45">
      <c r="A84" s="693" t="s">
        <v>439</v>
      </c>
      <c r="B84" s="609">
        <v>-21803.759999999998</v>
      </c>
      <c r="C84" s="620"/>
      <c r="D84" s="621"/>
      <c r="E84" s="621">
        <v>0</v>
      </c>
      <c r="F84" s="621"/>
      <c r="G84" s="625"/>
      <c r="H84" s="621"/>
      <c r="I84" s="621">
        <v>0</v>
      </c>
      <c r="J84" s="621"/>
      <c r="K84" s="621">
        <v>0</v>
      </c>
      <c r="L84" s="621"/>
      <c r="M84" s="621">
        <v>0</v>
      </c>
      <c r="N84" s="621"/>
      <c r="O84" s="612">
        <v>0</v>
      </c>
      <c r="P84" s="611"/>
      <c r="Q84" s="611">
        <v>0</v>
      </c>
      <c r="R84" s="611"/>
      <c r="S84" s="611">
        <v>0</v>
      </c>
      <c r="T84" s="611"/>
      <c r="U84" s="611">
        <v>0</v>
      </c>
      <c r="V84" s="611"/>
      <c r="W84" s="611">
        <v>0</v>
      </c>
      <c r="X84" s="611"/>
      <c r="Y84" s="611">
        <v>0</v>
      </c>
      <c r="Z84" s="611"/>
      <c r="AA84" s="611">
        <v>0</v>
      </c>
      <c r="AB84" s="476">
        <f t="shared" si="10"/>
        <v>-21803.759999999998</v>
      </c>
      <c r="AC84" s="601"/>
      <c r="AD84" s="476">
        <v>-21803.759999999998</v>
      </c>
      <c r="AE84" s="476"/>
      <c r="AF84" s="476">
        <f t="shared" si="11"/>
        <v>0</v>
      </c>
      <c r="AG84" s="537">
        <f t="shared" si="8"/>
        <v>0</v>
      </c>
      <c r="AH84" s="474">
        <f t="shared" si="9"/>
        <v>-21803.759999999998</v>
      </c>
    </row>
    <row r="85" spans="1:34" x14ac:dyDescent="0.45">
      <c r="A85" s="693" t="s">
        <v>343</v>
      </c>
      <c r="B85" s="609">
        <v>-36.199999999837019</v>
      </c>
      <c r="C85" s="620"/>
      <c r="D85" s="621"/>
      <c r="E85" s="621">
        <v>0</v>
      </c>
      <c r="F85" s="621"/>
      <c r="G85" s="625"/>
      <c r="H85" s="621"/>
      <c r="I85" s="621">
        <v>0</v>
      </c>
      <c r="J85" s="621"/>
      <c r="K85" s="621">
        <v>0</v>
      </c>
      <c r="L85" s="621"/>
      <c r="M85" s="621">
        <v>0</v>
      </c>
      <c r="N85" s="621"/>
      <c r="O85" s="628">
        <v>0</v>
      </c>
      <c r="P85" s="611"/>
      <c r="Q85" s="611">
        <v>0</v>
      </c>
      <c r="R85" s="611"/>
      <c r="S85" s="611">
        <v>0</v>
      </c>
      <c r="T85" s="611"/>
      <c r="U85" s="611">
        <v>0</v>
      </c>
      <c r="V85" s="611"/>
      <c r="W85" s="611">
        <v>0</v>
      </c>
      <c r="X85" s="611"/>
      <c r="Y85" s="611">
        <v>0</v>
      </c>
      <c r="Z85" s="611"/>
      <c r="AA85" s="611">
        <v>0</v>
      </c>
      <c r="AB85" s="476">
        <f t="shared" si="10"/>
        <v>-36.199999999837019</v>
      </c>
      <c r="AC85" s="601"/>
      <c r="AD85" s="476">
        <v>-36.199999999837019</v>
      </c>
      <c r="AE85" s="476"/>
      <c r="AF85" s="476">
        <f t="shared" si="11"/>
        <v>0</v>
      </c>
      <c r="AG85" s="537">
        <f t="shared" si="8"/>
        <v>0</v>
      </c>
      <c r="AH85" s="474">
        <f t="shared" si="9"/>
        <v>-36.199999999837019</v>
      </c>
    </row>
    <row r="86" spans="1:34" x14ac:dyDescent="0.45">
      <c r="A86" s="693" t="s">
        <v>463</v>
      </c>
      <c r="B86" s="609">
        <v>0</v>
      </c>
      <c r="C86" s="620"/>
      <c r="D86" s="621"/>
      <c r="E86" s="621">
        <v>0</v>
      </c>
      <c r="F86" s="621"/>
      <c r="G86" s="625"/>
      <c r="H86" s="621"/>
      <c r="I86" s="609">
        <v>0</v>
      </c>
      <c r="J86" s="621"/>
      <c r="K86" s="621">
        <v>0</v>
      </c>
      <c r="L86" s="621"/>
      <c r="M86" s="621">
        <v>0</v>
      </c>
      <c r="N86" s="621"/>
      <c r="O86" s="612">
        <v>0</v>
      </c>
      <c r="P86" s="611"/>
      <c r="Q86" s="611">
        <v>0</v>
      </c>
      <c r="R86" s="611"/>
      <c r="S86" s="611">
        <v>0</v>
      </c>
      <c r="T86" s="611"/>
      <c r="U86" s="611">
        <v>0</v>
      </c>
      <c r="V86" s="611"/>
      <c r="W86" s="611">
        <v>0</v>
      </c>
      <c r="X86" s="611"/>
      <c r="Y86" s="611">
        <v>0</v>
      </c>
      <c r="Z86" s="611"/>
      <c r="AA86" s="611">
        <v>0</v>
      </c>
      <c r="AB86" s="476">
        <f t="shared" si="10"/>
        <v>0</v>
      </c>
      <c r="AC86" s="601"/>
      <c r="AD86" s="476">
        <v>0</v>
      </c>
      <c r="AE86" s="476"/>
      <c r="AF86" s="476">
        <f t="shared" si="11"/>
        <v>0</v>
      </c>
      <c r="AG86" s="537">
        <f t="shared" si="8"/>
        <v>0</v>
      </c>
      <c r="AH86" s="474">
        <f t="shared" si="9"/>
        <v>0</v>
      </c>
    </row>
    <row r="87" spans="1:34" x14ac:dyDescent="0.45">
      <c r="A87" s="692" t="s">
        <v>501</v>
      </c>
      <c r="B87" s="609">
        <v>290433.76000000804</v>
      </c>
      <c r="C87" s="610"/>
      <c r="D87" s="609">
        <v>173505.83</v>
      </c>
      <c r="E87" s="609">
        <v>46607.58</v>
      </c>
      <c r="F87" s="609">
        <f>96557.42</f>
        <v>96557.42</v>
      </c>
      <c r="G87" s="611">
        <v>42799.68</v>
      </c>
      <c r="H87" s="609"/>
      <c r="I87" s="609">
        <v>41958.710000000006</v>
      </c>
      <c r="J87" s="609"/>
      <c r="K87" s="609">
        <v>-2641.1300000000047</v>
      </c>
      <c r="L87" s="609">
        <v>80811.17</v>
      </c>
      <c r="M87" s="609">
        <v>0</v>
      </c>
      <c r="N87" s="609"/>
      <c r="O87" s="609">
        <v>0</v>
      </c>
      <c r="P87" s="611"/>
      <c r="Q87" s="611">
        <v>0</v>
      </c>
      <c r="R87" s="611"/>
      <c r="S87" s="611">
        <v>0</v>
      </c>
      <c r="T87" s="611"/>
      <c r="U87" s="611">
        <v>0</v>
      </c>
      <c r="V87" s="611"/>
      <c r="W87" s="611">
        <v>0</v>
      </c>
      <c r="X87" s="611"/>
      <c r="Y87" s="611">
        <v>0</v>
      </c>
      <c r="Z87" s="611">
        <f>77704.92+14796.76</f>
        <v>92501.68</v>
      </c>
      <c r="AA87" s="611">
        <v>0</v>
      </c>
      <c r="AB87" s="476">
        <f t="shared" si="10"/>
        <v>-24217.499999991924</v>
      </c>
      <c r="AC87" s="601"/>
      <c r="AD87" s="476">
        <v>290433.76000000804</v>
      </c>
      <c r="AE87" s="476"/>
      <c r="AF87" s="476">
        <f t="shared" si="11"/>
        <v>128724.84000000003</v>
      </c>
      <c r="AG87" s="537">
        <f t="shared" si="8"/>
        <v>443376.1</v>
      </c>
      <c r="AH87" s="474">
        <f t="shared" si="9"/>
        <v>-24217.499999991909</v>
      </c>
    </row>
    <row r="88" spans="1:34" x14ac:dyDescent="0.45">
      <c r="A88" s="693" t="s">
        <v>441</v>
      </c>
      <c r="B88" s="609">
        <v>-135954.03000000003</v>
      </c>
      <c r="C88" s="620"/>
      <c r="D88" s="621"/>
      <c r="E88" s="621">
        <v>0</v>
      </c>
      <c r="F88" s="621"/>
      <c r="G88" s="625"/>
      <c r="H88" s="621"/>
      <c r="I88" s="609">
        <v>0</v>
      </c>
      <c r="J88" s="621"/>
      <c r="K88" s="621">
        <v>0</v>
      </c>
      <c r="L88" s="621"/>
      <c r="M88" s="621">
        <v>0</v>
      </c>
      <c r="N88" s="621"/>
      <c r="O88" s="621">
        <v>0</v>
      </c>
      <c r="P88" s="625"/>
      <c r="Q88" s="625">
        <v>0</v>
      </c>
      <c r="R88" s="625"/>
      <c r="S88" s="625">
        <v>0</v>
      </c>
      <c r="T88" s="625"/>
      <c r="U88" s="625">
        <v>0</v>
      </c>
      <c r="V88" s="625"/>
      <c r="W88" s="625">
        <v>0</v>
      </c>
      <c r="X88" s="625"/>
      <c r="Y88" s="611">
        <v>0</v>
      </c>
      <c r="Z88" s="625"/>
      <c r="AA88" s="625">
        <v>0</v>
      </c>
      <c r="AB88" s="476">
        <f t="shared" si="10"/>
        <v>-135954.03000000003</v>
      </c>
      <c r="AC88" s="601"/>
      <c r="AD88" s="476">
        <v>-135954.03000000003</v>
      </c>
      <c r="AE88" s="476"/>
      <c r="AF88" s="476">
        <f t="shared" si="11"/>
        <v>0</v>
      </c>
      <c r="AG88" s="537">
        <f t="shared" si="8"/>
        <v>0</v>
      </c>
      <c r="AH88" s="474">
        <f t="shared" si="9"/>
        <v>-135954.03000000003</v>
      </c>
    </row>
    <row r="89" spans="1:34" x14ac:dyDescent="0.45">
      <c r="A89" s="693" t="s">
        <v>480</v>
      </c>
      <c r="B89" s="621">
        <v>2.1827872842550278E-11</v>
      </c>
      <c r="C89" s="620"/>
      <c r="D89" s="621"/>
      <c r="E89" s="621">
        <v>0</v>
      </c>
      <c r="F89" s="621"/>
      <c r="G89" s="625"/>
      <c r="H89" s="621"/>
      <c r="I89" s="609">
        <v>0</v>
      </c>
      <c r="J89" s="621"/>
      <c r="K89" s="621">
        <v>0</v>
      </c>
      <c r="L89" s="621"/>
      <c r="M89" s="621">
        <v>0</v>
      </c>
      <c r="N89" s="621"/>
      <c r="O89" s="621">
        <v>0</v>
      </c>
      <c r="P89" s="625"/>
      <c r="Q89" s="625">
        <v>0</v>
      </c>
      <c r="R89" s="625"/>
      <c r="S89" s="625">
        <v>0</v>
      </c>
      <c r="T89" s="625"/>
      <c r="U89" s="625">
        <v>0</v>
      </c>
      <c r="V89" s="625"/>
      <c r="W89" s="625">
        <v>0</v>
      </c>
      <c r="X89" s="625"/>
      <c r="Y89" s="611">
        <v>0</v>
      </c>
      <c r="Z89" s="625"/>
      <c r="AA89" s="575">
        <v>16010.27</v>
      </c>
      <c r="AB89" s="476">
        <f t="shared" si="10"/>
        <v>16010.270000000022</v>
      </c>
      <c r="AC89" s="602"/>
      <c r="AD89" s="488">
        <v>2.1827872842550278E-11</v>
      </c>
      <c r="AE89" s="488"/>
      <c r="AF89" s="476">
        <f t="shared" si="11"/>
        <v>16010.27</v>
      </c>
      <c r="AG89" s="537">
        <f t="shared" si="8"/>
        <v>0</v>
      </c>
      <c r="AH89" s="474">
        <f t="shared" si="9"/>
        <v>16010.270000000022</v>
      </c>
    </row>
    <row r="90" spans="1:34" x14ac:dyDescent="0.45">
      <c r="A90" s="693" t="s">
        <v>481</v>
      </c>
      <c r="B90" s="621">
        <v>10218.299999999999</v>
      </c>
      <c r="C90" s="620"/>
      <c r="D90" s="621"/>
      <c r="E90" s="621">
        <v>38169.31</v>
      </c>
      <c r="F90" s="621">
        <f>38169.31</f>
        <v>38169.31</v>
      </c>
      <c r="G90" s="625">
        <v>34735.72</v>
      </c>
      <c r="H90" s="621"/>
      <c r="I90" s="609">
        <v>13992.62</v>
      </c>
      <c r="J90" s="621"/>
      <c r="K90" s="621"/>
      <c r="L90" s="621"/>
      <c r="M90" s="621">
        <v>2359.1799999999998</v>
      </c>
      <c r="N90" s="621">
        <f>13992.62</f>
        <v>13992.62</v>
      </c>
      <c r="O90" s="621">
        <v>0</v>
      </c>
      <c r="P90" s="625"/>
      <c r="Q90" s="625">
        <v>6936.65</v>
      </c>
      <c r="R90" s="625"/>
      <c r="S90" s="625">
        <v>29718.510000000002</v>
      </c>
      <c r="T90" s="625">
        <v>41672.370000000003</v>
      </c>
      <c r="U90" s="625">
        <v>17700.990000000002</v>
      </c>
      <c r="V90" s="625">
        <v>29718.51</v>
      </c>
      <c r="W90" s="625">
        <v>37081.86</v>
      </c>
      <c r="X90" s="625">
        <f>54782.85</f>
        <v>54782.85</v>
      </c>
      <c r="Y90" s="614">
        <v>33278.6</v>
      </c>
      <c r="Z90" s="625">
        <f>33278.6</f>
        <v>33278.6</v>
      </c>
      <c r="AA90" s="625">
        <v>37613.549999999996</v>
      </c>
      <c r="AB90" s="476">
        <f t="shared" si="10"/>
        <v>50191.030000000013</v>
      </c>
      <c r="AC90" s="602"/>
      <c r="AD90" s="488">
        <v>10218.299999999999</v>
      </c>
      <c r="AE90" s="488"/>
      <c r="AF90" s="476">
        <f t="shared" si="11"/>
        <v>251586.98999999996</v>
      </c>
      <c r="AG90" s="537">
        <f t="shared" si="8"/>
        <v>211614.26</v>
      </c>
      <c r="AH90" s="474">
        <f t="shared" si="9"/>
        <v>50191.029999999941</v>
      </c>
    </row>
    <row r="91" spans="1:34" x14ac:dyDescent="0.45">
      <c r="A91" s="693" t="s">
        <v>465</v>
      </c>
      <c r="B91" s="621">
        <v>30474.279999999984</v>
      </c>
      <c r="C91" s="620"/>
      <c r="D91" s="621"/>
      <c r="E91" s="621">
        <v>0</v>
      </c>
      <c r="F91" s="621"/>
      <c r="G91" s="625"/>
      <c r="H91" s="621"/>
      <c r="I91" s="609">
        <v>0</v>
      </c>
      <c r="J91" s="621"/>
      <c r="K91" s="621"/>
      <c r="L91" s="621"/>
      <c r="M91" s="621">
        <v>0</v>
      </c>
      <c r="N91" s="621"/>
      <c r="O91" s="621">
        <v>0</v>
      </c>
      <c r="P91" s="625"/>
      <c r="Q91" s="625">
        <v>0</v>
      </c>
      <c r="R91" s="625"/>
      <c r="S91" s="625">
        <v>0</v>
      </c>
      <c r="T91" s="625"/>
      <c r="U91" s="625">
        <v>0</v>
      </c>
      <c r="V91" s="625"/>
      <c r="W91" s="625">
        <v>0</v>
      </c>
      <c r="X91" s="625"/>
      <c r="Y91" s="625">
        <v>0</v>
      </c>
      <c r="Z91" s="625"/>
      <c r="AA91" s="625">
        <v>0</v>
      </c>
      <c r="AB91" s="476">
        <f t="shared" si="10"/>
        <v>30474.279999999984</v>
      </c>
      <c r="AC91" s="602"/>
      <c r="AD91" s="488">
        <v>30474.279999999984</v>
      </c>
      <c r="AE91" s="488"/>
      <c r="AF91" s="476">
        <f t="shared" si="11"/>
        <v>0</v>
      </c>
      <c r="AG91" s="537">
        <f t="shared" si="8"/>
        <v>0</v>
      </c>
      <c r="AH91" s="474">
        <f t="shared" si="9"/>
        <v>30474.279999999984</v>
      </c>
    </row>
    <row r="92" spans="1:34" x14ac:dyDescent="0.45">
      <c r="A92" s="693" t="s">
        <v>482</v>
      </c>
      <c r="B92" s="621">
        <v>28731.409999999974</v>
      </c>
      <c r="C92" s="620"/>
      <c r="D92" s="621">
        <v>24106.31</v>
      </c>
      <c r="E92" s="621">
        <v>24114.95</v>
      </c>
      <c r="F92" s="621">
        <f>4625.1+24114.95</f>
        <v>28740.050000000003</v>
      </c>
      <c r="G92" s="625">
        <v>24579.77</v>
      </c>
      <c r="H92" s="621">
        <f>3629.77+20950</f>
        <v>24579.77</v>
      </c>
      <c r="I92" s="626">
        <v>27875.200000000001</v>
      </c>
      <c r="J92" s="621">
        <v>27875.200000000001</v>
      </c>
      <c r="K92" s="621">
        <v>23828.62</v>
      </c>
      <c r="L92" s="621">
        <v>23828.62</v>
      </c>
      <c r="M92" s="621">
        <v>26566.07</v>
      </c>
      <c r="N92" s="621"/>
      <c r="O92" s="621">
        <v>25494</v>
      </c>
      <c r="P92" s="625">
        <f>20950+4544+26566.07</f>
        <v>52060.07</v>
      </c>
      <c r="Q92" s="625">
        <v>27756.93</v>
      </c>
      <c r="R92" s="625">
        <v>27756.93</v>
      </c>
      <c r="S92" s="625">
        <v>27757.71</v>
      </c>
      <c r="T92" s="625"/>
      <c r="U92" s="625">
        <v>25341.1</v>
      </c>
      <c r="V92" s="625"/>
      <c r="W92" s="625">
        <v>0</v>
      </c>
      <c r="X92" s="625"/>
      <c r="Y92" s="625">
        <v>0</v>
      </c>
      <c r="Z92" s="625"/>
      <c r="AA92" s="625">
        <v>0</v>
      </c>
      <c r="AB92" s="476">
        <f t="shared" si="10"/>
        <v>53098.809999999969</v>
      </c>
      <c r="AC92" s="602"/>
      <c r="AD92" s="488">
        <v>28731.409999999974</v>
      </c>
      <c r="AE92" s="488"/>
      <c r="AF92" s="476">
        <f t="shared" si="11"/>
        <v>233314.34999999998</v>
      </c>
      <c r="AG92" s="537">
        <f t="shared" si="8"/>
        <v>208946.94999999998</v>
      </c>
      <c r="AH92" s="474">
        <f t="shared" si="9"/>
        <v>53098.809999999969</v>
      </c>
    </row>
    <row r="93" spans="1:34" x14ac:dyDescent="0.45">
      <c r="A93" s="693" t="s">
        <v>483</v>
      </c>
      <c r="B93" s="621">
        <v>222436.36</v>
      </c>
      <c r="C93" s="620"/>
      <c r="D93" s="621"/>
      <c r="E93" s="621"/>
      <c r="F93" s="621"/>
      <c r="G93" s="625"/>
      <c r="H93" s="621"/>
      <c r="I93" s="609"/>
      <c r="J93" s="621"/>
      <c r="K93" s="621"/>
      <c r="L93" s="621"/>
      <c r="M93" s="621">
        <v>0</v>
      </c>
      <c r="N93" s="621"/>
      <c r="O93" s="621"/>
      <c r="P93" s="625"/>
      <c r="Q93" s="625"/>
      <c r="R93" s="625"/>
      <c r="S93" s="625">
        <v>12130.519999999999</v>
      </c>
      <c r="T93" s="625"/>
      <c r="U93" s="625">
        <v>0</v>
      </c>
      <c r="V93" s="625"/>
      <c r="W93" s="625">
        <v>0</v>
      </c>
      <c r="X93" s="625"/>
      <c r="Y93" s="625">
        <v>0</v>
      </c>
      <c r="Z93" s="625"/>
      <c r="AA93" s="625">
        <v>0</v>
      </c>
      <c r="AB93" s="476">
        <f t="shared" si="10"/>
        <v>234566.87999999998</v>
      </c>
      <c r="AC93" s="602"/>
      <c r="AD93" s="488">
        <v>222436.36</v>
      </c>
      <c r="AE93" s="488"/>
      <c r="AF93" s="476">
        <f t="shared" si="11"/>
        <v>12130.519999999999</v>
      </c>
      <c r="AG93" s="537">
        <f t="shared" si="8"/>
        <v>0</v>
      </c>
      <c r="AH93" s="474">
        <f t="shared" si="9"/>
        <v>234566.87999999998</v>
      </c>
    </row>
    <row r="94" spans="1:34" x14ac:dyDescent="0.45">
      <c r="A94" s="692" t="s">
        <v>466</v>
      </c>
      <c r="B94" s="609">
        <v>152701.69</v>
      </c>
      <c r="C94" s="610"/>
      <c r="D94" s="609"/>
      <c r="E94" s="609">
        <v>36427.769999999997</v>
      </c>
      <c r="F94" s="609"/>
      <c r="G94" s="611">
        <v>25575.25</v>
      </c>
      <c r="H94" s="609"/>
      <c r="I94" s="609"/>
      <c r="J94" s="609"/>
      <c r="K94" s="609"/>
      <c r="L94" s="609"/>
      <c r="M94" s="609"/>
      <c r="N94" s="609"/>
      <c r="O94" s="609"/>
      <c r="P94" s="611"/>
      <c r="Q94" s="611">
        <v>18073.75</v>
      </c>
      <c r="R94" s="611">
        <v>18073.75</v>
      </c>
      <c r="S94" s="611">
        <v>4296.42</v>
      </c>
      <c r="T94" s="611"/>
      <c r="U94" s="611">
        <v>9476.74</v>
      </c>
      <c r="V94" s="611">
        <v>9476.4699999999993</v>
      </c>
      <c r="W94" s="611">
        <v>26553.920000000002</v>
      </c>
      <c r="X94" s="611">
        <f>26553.92</f>
        <v>26553.919999999998</v>
      </c>
      <c r="Y94" s="611">
        <v>2448.8599999999997</v>
      </c>
      <c r="Z94" s="611">
        <f>2448.86</f>
        <v>2448.86</v>
      </c>
      <c r="AA94" s="611">
        <v>0</v>
      </c>
      <c r="AB94" s="476">
        <f t="shared" si="10"/>
        <v>219001.40000000002</v>
      </c>
      <c r="AC94" s="602"/>
      <c r="AD94" s="474">
        <v>152701.69</v>
      </c>
      <c r="AE94" s="476"/>
      <c r="AF94" s="476">
        <f t="shared" si="11"/>
        <v>122852.70999999999</v>
      </c>
      <c r="AG94" s="537">
        <f t="shared" si="8"/>
        <v>56553</v>
      </c>
      <c r="AH94" s="474">
        <f t="shared" si="9"/>
        <v>219001.40000000002</v>
      </c>
    </row>
    <row r="95" spans="1:34" x14ac:dyDescent="0.45">
      <c r="A95" s="693" t="s">
        <v>484</v>
      </c>
      <c r="B95" s="621">
        <v>16581.75</v>
      </c>
      <c r="C95" s="620"/>
      <c r="D95" s="621"/>
      <c r="E95" s="621"/>
      <c r="F95" s="621">
        <v>14450.86</v>
      </c>
      <c r="G95" s="625"/>
      <c r="H95" s="621"/>
      <c r="I95" s="621"/>
      <c r="J95" s="621"/>
      <c r="K95" s="621"/>
      <c r="L95" s="621"/>
      <c r="M95" s="621"/>
      <c r="N95" s="621"/>
      <c r="O95" s="621"/>
      <c r="P95" s="625"/>
      <c r="Q95" s="625"/>
      <c r="R95" s="688"/>
      <c r="S95" s="625"/>
      <c r="T95" s="625"/>
      <c r="U95" s="625">
        <v>0</v>
      </c>
      <c r="V95" s="625"/>
      <c r="W95" s="625">
        <v>0</v>
      </c>
      <c r="X95" s="625"/>
      <c r="Y95" s="625">
        <v>0</v>
      </c>
      <c r="Z95" s="625">
        <v>2130.89</v>
      </c>
      <c r="AA95" s="625">
        <v>0</v>
      </c>
      <c r="AB95" s="476">
        <f t="shared" si="10"/>
        <v>-4.5474735088646412E-13</v>
      </c>
      <c r="AC95" s="602"/>
      <c r="AD95" s="485">
        <v>16581.75</v>
      </c>
      <c r="AE95" s="488"/>
      <c r="AF95" s="476">
        <f t="shared" si="11"/>
        <v>0</v>
      </c>
      <c r="AG95" s="537">
        <f t="shared" si="8"/>
        <v>16581.75</v>
      </c>
      <c r="AH95" s="474">
        <f t="shared" si="9"/>
        <v>0</v>
      </c>
    </row>
    <row r="96" spans="1:34" x14ac:dyDescent="0.45">
      <c r="A96" s="693" t="s">
        <v>485</v>
      </c>
      <c r="B96" s="621">
        <v>478127.37999999989</v>
      </c>
      <c r="C96" s="620"/>
      <c r="D96" s="621"/>
      <c r="E96" s="621">
        <v>230322.9</v>
      </c>
      <c r="F96" s="621">
        <f>236842.15</f>
        <v>236842.15</v>
      </c>
      <c r="G96" s="625">
        <v>218947.19999999998</v>
      </c>
      <c r="H96" s="621">
        <f>471608.13</f>
        <v>471608.13</v>
      </c>
      <c r="I96" s="621">
        <v>232245.68</v>
      </c>
      <c r="J96" s="621">
        <v>218947.20000000001</v>
      </c>
      <c r="K96" s="621">
        <v>229082.43</v>
      </c>
      <c r="L96" s="621">
        <v>232245.68</v>
      </c>
      <c r="M96" s="621">
        <v>227827.65</v>
      </c>
      <c r="N96" s="621">
        <v>229082.43</v>
      </c>
      <c r="O96" s="621">
        <v>223642.58</v>
      </c>
      <c r="P96" s="625">
        <f>227827.65+223642.58</f>
        <v>451470.23</v>
      </c>
      <c r="Q96" s="625">
        <v>223696.99</v>
      </c>
      <c r="R96" s="625"/>
      <c r="S96" s="625">
        <v>228587.77</v>
      </c>
      <c r="T96" s="625">
        <v>452284.76</v>
      </c>
      <c r="U96" s="625">
        <v>217875.46</v>
      </c>
      <c r="V96" s="625"/>
      <c r="W96" s="625">
        <v>207157.66999999998</v>
      </c>
      <c r="X96" s="625">
        <f>217875.46+207157.67</f>
        <v>425033.13</v>
      </c>
      <c r="Y96" s="614">
        <v>213630.44999999998</v>
      </c>
      <c r="Z96" s="625">
        <v>213630.45</v>
      </c>
      <c r="AA96" s="625">
        <v>238282.11</v>
      </c>
      <c r="AB96" s="476">
        <f t="shared" si="10"/>
        <v>238282.10999999984</v>
      </c>
      <c r="AC96" s="602"/>
      <c r="AD96" s="485">
        <v>478127.37999999989</v>
      </c>
      <c r="AE96" s="488"/>
      <c r="AF96" s="476">
        <f t="shared" si="11"/>
        <v>2691298.89</v>
      </c>
      <c r="AG96" s="537">
        <f t="shared" si="8"/>
        <v>2931144.16</v>
      </c>
      <c r="AH96" s="474">
        <f t="shared" si="9"/>
        <v>238282.10999999987</v>
      </c>
    </row>
    <row r="97" spans="1:34" x14ac:dyDescent="0.45">
      <c r="A97" s="693" t="s">
        <v>486</v>
      </c>
      <c r="B97" s="621">
        <v>1.0913936421275139E-11</v>
      </c>
      <c r="C97" s="620"/>
      <c r="D97" s="621"/>
      <c r="E97" s="621"/>
      <c r="F97" s="621"/>
      <c r="G97" s="625"/>
      <c r="H97" s="621"/>
      <c r="I97" s="621"/>
      <c r="J97" s="621"/>
      <c r="K97" s="621"/>
      <c r="L97" s="621"/>
      <c r="M97" s="621"/>
      <c r="N97" s="621"/>
      <c r="O97" s="621"/>
      <c r="P97" s="625"/>
      <c r="Q97" s="625">
        <v>0</v>
      </c>
      <c r="R97" s="625"/>
      <c r="S97" s="625">
        <v>0</v>
      </c>
      <c r="T97" s="625"/>
      <c r="U97" s="625">
        <v>0</v>
      </c>
      <c r="V97" s="625"/>
      <c r="W97" s="625">
        <v>0</v>
      </c>
      <c r="X97" s="625"/>
      <c r="Y97" s="625">
        <v>0</v>
      </c>
      <c r="Z97" s="625"/>
      <c r="AA97" s="625">
        <v>0</v>
      </c>
      <c r="AB97" s="476">
        <f t="shared" si="10"/>
        <v>1.0913936421275139E-11</v>
      </c>
      <c r="AC97" s="602"/>
      <c r="AD97" s="485">
        <v>1.0913936421275139E-11</v>
      </c>
      <c r="AE97" s="488"/>
      <c r="AF97" s="476">
        <f t="shared" si="11"/>
        <v>0</v>
      </c>
      <c r="AG97" s="537">
        <f t="shared" si="8"/>
        <v>0</v>
      </c>
      <c r="AH97" s="474">
        <f t="shared" si="9"/>
        <v>1.0913936421275139E-11</v>
      </c>
    </row>
    <row r="98" spans="1:34" x14ac:dyDescent="0.45">
      <c r="A98" s="693" t="s">
        <v>502</v>
      </c>
      <c r="B98" s="621">
        <v>8773.1399999999958</v>
      </c>
      <c r="C98" s="620"/>
      <c r="D98" s="621"/>
      <c r="E98" s="621"/>
      <c r="F98" s="621"/>
      <c r="G98" s="625"/>
      <c r="H98" s="621"/>
      <c r="I98" s="621"/>
      <c r="J98" s="621"/>
      <c r="K98" s="621"/>
      <c r="L98" s="621"/>
      <c r="M98" s="621"/>
      <c r="N98" s="621"/>
      <c r="O98" s="621"/>
      <c r="P98" s="625"/>
      <c r="Q98" s="625">
        <v>0</v>
      </c>
      <c r="R98" s="625"/>
      <c r="S98" s="625">
        <v>0</v>
      </c>
      <c r="T98" s="625"/>
      <c r="U98" s="625"/>
      <c r="V98" s="625"/>
      <c r="W98" s="625">
        <v>0</v>
      </c>
      <c r="X98" s="625"/>
      <c r="Y98" s="625">
        <v>0</v>
      </c>
      <c r="Z98" s="625"/>
      <c r="AA98" s="625">
        <v>0</v>
      </c>
      <c r="AB98" s="476">
        <f t="shared" si="10"/>
        <v>8773.1399999999958</v>
      </c>
      <c r="AC98" s="602"/>
      <c r="AD98" s="485">
        <v>8773.1399999999958</v>
      </c>
      <c r="AE98" s="488"/>
      <c r="AF98" s="476">
        <f t="shared" si="11"/>
        <v>0</v>
      </c>
      <c r="AG98" s="537">
        <f t="shared" si="8"/>
        <v>0</v>
      </c>
      <c r="AH98" s="474">
        <f t="shared" si="9"/>
        <v>8773.1399999999958</v>
      </c>
    </row>
    <row r="99" spans="1:34" x14ac:dyDescent="0.45">
      <c r="A99" s="693" t="s">
        <v>503</v>
      </c>
      <c r="B99" s="621">
        <v>51865.960000000006</v>
      </c>
      <c r="C99" s="620"/>
      <c r="D99" s="621"/>
      <c r="E99" s="621">
        <v>54905.320000000007</v>
      </c>
      <c r="F99" s="621">
        <v>54905.32</v>
      </c>
      <c r="G99" s="625">
        <v>97282.340000000011</v>
      </c>
      <c r="H99" s="621"/>
      <c r="I99" s="621">
        <v>41366.600000000006</v>
      </c>
      <c r="J99" s="621"/>
      <c r="K99" s="621">
        <v>45709.22</v>
      </c>
      <c r="L99" s="621"/>
      <c r="M99" s="621">
        <v>35713.880000000005</v>
      </c>
      <c r="N99" s="621"/>
      <c r="O99" s="621">
        <v>472.85</v>
      </c>
      <c r="P99" s="625">
        <f>199208.22</f>
        <v>199208.22</v>
      </c>
      <c r="Q99" s="625">
        <v>0</v>
      </c>
      <c r="R99" s="625"/>
      <c r="S99" s="625">
        <v>0</v>
      </c>
      <c r="T99" s="625"/>
      <c r="U99" s="625"/>
      <c r="V99" s="625"/>
      <c r="W99" s="625"/>
      <c r="X99" s="625"/>
      <c r="Y99" s="625">
        <v>0</v>
      </c>
      <c r="Z99" s="625"/>
      <c r="AA99" s="625">
        <v>0</v>
      </c>
      <c r="AB99" s="476">
        <f t="shared" si="10"/>
        <v>73202.629999999976</v>
      </c>
      <c r="AC99" s="602"/>
      <c r="AD99" s="485">
        <v>51865.960000000006</v>
      </c>
      <c r="AE99" s="488"/>
      <c r="AF99" s="476">
        <f t="shared" si="11"/>
        <v>275450.21000000002</v>
      </c>
      <c r="AG99" s="537">
        <f t="shared" si="8"/>
        <v>254113.54</v>
      </c>
      <c r="AH99" s="474">
        <f t="shared" si="9"/>
        <v>73202.630000000034</v>
      </c>
    </row>
    <row r="100" spans="1:34" x14ac:dyDescent="0.45">
      <c r="A100" s="693" t="s">
        <v>504</v>
      </c>
      <c r="B100" s="621">
        <v>35795.879999999997</v>
      </c>
      <c r="C100" s="620"/>
      <c r="D100" s="621"/>
      <c r="E100" s="621"/>
      <c r="F100" s="621"/>
      <c r="G100" s="625"/>
      <c r="H100" s="621"/>
      <c r="I100" s="621"/>
      <c r="J100" s="621"/>
      <c r="K100" s="621"/>
      <c r="L100" s="621"/>
      <c r="M100" s="621"/>
      <c r="N100" s="621"/>
      <c r="O100" s="621"/>
      <c r="P100" s="625"/>
      <c r="Q100" s="625">
        <v>0</v>
      </c>
      <c r="R100" s="625"/>
      <c r="S100" s="625">
        <v>0</v>
      </c>
      <c r="T100" s="625"/>
      <c r="U100" s="625"/>
      <c r="V100" s="625"/>
      <c r="W100" s="625"/>
      <c r="X100" s="625"/>
      <c r="Y100" s="625">
        <v>-267.95</v>
      </c>
      <c r="Z100" s="625"/>
      <c r="AA100" s="625">
        <v>32764.61</v>
      </c>
      <c r="AB100" s="476">
        <f t="shared" si="10"/>
        <v>68292.540000000008</v>
      </c>
      <c r="AC100" s="602"/>
      <c r="AD100" s="485">
        <v>35795.879999999997</v>
      </c>
      <c r="AE100" s="488"/>
      <c r="AF100" s="476">
        <f t="shared" si="11"/>
        <v>32496.66</v>
      </c>
      <c r="AG100" s="537">
        <f t="shared" si="8"/>
        <v>0</v>
      </c>
      <c r="AH100" s="474">
        <f t="shared" si="9"/>
        <v>68292.539999999994</v>
      </c>
    </row>
    <row r="101" spans="1:34" x14ac:dyDescent="0.45">
      <c r="A101" s="693" t="s">
        <v>505</v>
      </c>
      <c r="B101" s="621">
        <v>1125244.6499999999</v>
      </c>
      <c r="C101" s="620"/>
      <c r="D101" s="621">
        <v>282687.74</v>
      </c>
      <c r="E101" s="621">
        <v>176579.27</v>
      </c>
      <c r="F101" s="621"/>
      <c r="G101" s="625">
        <v>164956.38</v>
      </c>
      <c r="H101" s="621"/>
      <c r="I101" s="621">
        <v>148838.04</v>
      </c>
      <c r="J101" s="621"/>
      <c r="K101" s="621">
        <v>151343.75</v>
      </c>
      <c r="L101" s="621"/>
      <c r="M101" s="621">
        <v>163647.82</v>
      </c>
      <c r="N101" s="621"/>
      <c r="O101" s="621">
        <v>152668.94999999998</v>
      </c>
      <c r="P101" s="625"/>
      <c r="Q101" s="625">
        <v>156975.28</v>
      </c>
      <c r="R101" s="625"/>
      <c r="S101" s="625">
        <v>150590.35</v>
      </c>
      <c r="T101" s="625"/>
      <c r="U101" s="625">
        <v>188846.19</v>
      </c>
      <c r="V101" s="625"/>
      <c r="W101" s="625">
        <v>179430.9</v>
      </c>
      <c r="X101" s="625"/>
      <c r="Y101" s="625">
        <v>166030.24</v>
      </c>
      <c r="Z101" s="625">
        <f>155424.71+155424.71+145101.28+143319.53+126528.09+124881.26+124881.26+124881.26+120852.84+120852.84+11889.78+279821.37+166030.24</f>
        <v>1799889.1700000002</v>
      </c>
      <c r="AA101" s="625">
        <v>131315.5</v>
      </c>
      <c r="AB101" s="476">
        <f t="shared" si="10"/>
        <v>973890.40999999992</v>
      </c>
      <c r="AC101" s="602"/>
      <c r="AD101" s="485">
        <v>1125244.6499999999</v>
      </c>
      <c r="AE101" s="488"/>
      <c r="AF101" s="476">
        <f t="shared" si="11"/>
        <v>1931222.67</v>
      </c>
      <c r="AG101" s="537">
        <f t="shared" si="8"/>
        <v>2082576.9100000001</v>
      </c>
      <c r="AH101" s="474">
        <f t="shared" si="9"/>
        <v>973890.40999999968</v>
      </c>
    </row>
    <row r="102" spans="1:34" x14ac:dyDescent="0.45">
      <c r="A102" s="693" t="s">
        <v>506</v>
      </c>
      <c r="B102" s="621">
        <v>45216.31</v>
      </c>
      <c r="C102" s="620"/>
      <c r="D102" s="621"/>
      <c r="E102" s="621">
        <v>205834.50999999998</v>
      </c>
      <c r="F102" s="621"/>
      <c r="G102" s="625">
        <v>35941.950000000004</v>
      </c>
      <c r="H102" s="621"/>
      <c r="I102" s="621">
        <v>35287.39</v>
      </c>
      <c r="J102" s="621"/>
      <c r="K102" s="621">
        <v>56551.98</v>
      </c>
      <c r="L102" s="621"/>
      <c r="M102" s="621">
        <v>77519.14</v>
      </c>
      <c r="N102" s="621"/>
      <c r="O102" s="621">
        <v>99156.780000000013</v>
      </c>
      <c r="P102" s="625"/>
      <c r="Q102" s="625">
        <v>95353.61</v>
      </c>
      <c r="R102" s="625"/>
      <c r="S102" s="625">
        <v>99367.99</v>
      </c>
      <c r="T102" s="625"/>
      <c r="U102" s="625">
        <v>98896.09</v>
      </c>
      <c r="V102" s="625"/>
      <c r="W102" s="625">
        <v>98898.880000000005</v>
      </c>
      <c r="X102" s="625"/>
      <c r="Y102" s="625">
        <v>61731.37</v>
      </c>
      <c r="Z102" s="625">
        <f>793618.53+170921.16</f>
        <v>964539.69000000006</v>
      </c>
      <c r="AA102" s="625">
        <v>63165.4</v>
      </c>
      <c r="AB102" s="476">
        <f t="shared" si="10"/>
        <v>108381.70999999982</v>
      </c>
      <c r="AC102" s="602"/>
      <c r="AD102" s="485">
        <v>45216.31</v>
      </c>
      <c r="AE102" s="488"/>
      <c r="AF102" s="476">
        <f t="shared" si="11"/>
        <v>1027705.09</v>
      </c>
      <c r="AG102" s="537">
        <f t="shared" ref="AG102:AG111" si="12">D102+F102+H102+J102+L102+N102+P102+R102+T102+V102+X102+Z102</f>
        <v>964539.69000000006</v>
      </c>
      <c r="AH102" s="474">
        <f t="shared" si="9"/>
        <v>108381.70999999985</v>
      </c>
    </row>
    <row r="103" spans="1:34" x14ac:dyDescent="0.45">
      <c r="A103" s="693" t="s">
        <v>507</v>
      </c>
      <c r="B103" s="621">
        <v>722386.48</v>
      </c>
      <c r="C103" s="620"/>
      <c r="D103" s="621"/>
      <c r="E103" s="621">
        <v>519867.4</v>
      </c>
      <c r="F103" s="621"/>
      <c r="G103" s="625">
        <v>208876.52000000002</v>
      </c>
      <c r="H103" s="621"/>
      <c r="I103" s="621">
        <v>229138.81</v>
      </c>
      <c r="J103" s="621"/>
      <c r="K103" s="621">
        <v>222959.85</v>
      </c>
      <c r="L103" s="621">
        <v>361681.64</v>
      </c>
      <c r="M103" s="621">
        <v>249645.02000000002</v>
      </c>
      <c r="N103" s="621"/>
      <c r="O103" s="621">
        <v>250065.05000000002</v>
      </c>
      <c r="P103" s="625"/>
      <c r="Q103" s="625">
        <v>253874.73</v>
      </c>
      <c r="R103" s="625">
        <v>968354.08</v>
      </c>
      <c r="S103" s="625">
        <v>266461.34999999998</v>
      </c>
      <c r="T103" s="625"/>
      <c r="U103" s="625">
        <v>223362.47</v>
      </c>
      <c r="V103" s="625">
        <v>80956.179999999993</v>
      </c>
      <c r="W103" s="625">
        <v>170796.93</v>
      </c>
      <c r="X103" s="625">
        <v>1470974.1</v>
      </c>
      <c r="Y103" s="625">
        <v>160401.27000000002</v>
      </c>
      <c r="Z103" s="625"/>
      <c r="AA103" s="625">
        <v>70096.210000000006</v>
      </c>
      <c r="AB103" s="476">
        <f t="shared" si="10"/>
        <v>665966.09000000008</v>
      </c>
      <c r="AC103" s="602"/>
      <c r="AD103" s="485">
        <v>722386.48</v>
      </c>
      <c r="AE103" s="488"/>
      <c r="AF103" s="476">
        <f t="shared" si="11"/>
        <v>2825545.6100000003</v>
      </c>
      <c r="AG103" s="537">
        <f t="shared" si="12"/>
        <v>2881966</v>
      </c>
      <c r="AH103" s="474">
        <f t="shared" si="9"/>
        <v>665966.09000000032</v>
      </c>
    </row>
    <row r="104" spans="1:34" x14ac:dyDescent="0.45">
      <c r="A104" s="693" t="s">
        <v>508</v>
      </c>
      <c r="B104" s="621">
        <v>731.7</v>
      </c>
      <c r="C104" s="620"/>
      <c r="D104" s="621"/>
      <c r="E104" s="621"/>
      <c r="F104" s="621"/>
      <c r="G104" s="625"/>
      <c r="H104" s="621"/>
      <c r="I104" s="621"/>
      <c r="J104" s="621"/>
      <c r="K104" s="621"/>
      <c r="L104" s="621"/>
      <c r="M104" s="621"/>
      <c r="N104" s="621"/>
      <c r="O104" s="621"/>
      <c r="P104" s="625"/>
      <c r="Q104" s="625">
        <v>0</v>
      </c>
      <c r="R104" s="625"/>
      <c r="S104" s="625">
        <v>0</v>
      </c>
      <c r="T104" s="625"/>
      <c r="U104" s="625"/>
      <c r="V104" s="625"/>
      <c r="W104" s="625"/>
      <c r="X104" s="625"/>
      <c r="Y104" s="625">
        <v>0</v>
      </c>
      <c r="Z104" s="625"/>
      <c r="AA104" s="625"/>
      <c r="AB104" s="476">
        <f t="shared" si="10"/>
        <v>731.7</v>
      </c>
      <c r="AC104" s="602"/>
      <c r="AD104" s="485">
        <v>731.7</v>
      </c>
      <c r="AE104" s="488"/>
      <c r="AF104" s="476">
        <f t="shared" si="11"/>
        <v>0</v>
      </c>
      <c r="AG104" s="537">
        <f t="shared" si="12"/>
        <v>0</v>
      </c>
      <c r="AH104" s="474">
        <f t="shared" si="9"/>
        <v>731.7</v>
      </c>
    </row>
    <row r="105" spans="1:34" x14ac:dyDescent="0.45">
      <c r="A105" s="693" t="s">
        <v>509</v>
      </c>
      <c r="B105" s="621">
        <v>209998.97</v>
      </c>
      <c r="C105" s="620"/>
      <c r="D105" s="621"/>
      <c r="E105" s="621">
        <v>40490.11</v>
      </c>
      <c r="F105" s="621"/>
      <c r="G105" s="625">
        <v>40735.530000000006</v>
      </c>
      <c r="H105" s="621"/>
      <c r="I105" s="621">
        <v>41710.270000000004</v>
      </c>
      <c r="J105" s="621"/>
      <c r="K105" s="621">
        <v>40268.629999999997</v>
      </c>
      <c r="L105" s="621"/>
      <c r="M105" s="621">
        <v>39441.79</v>
      </c>
      <c r="N105" s="621"/>
      <c r="O105" s="621">
        <v>44438.729999999996</v>
      </c>
      <c r="P105" s="625"/>
      <c r="Q105" s="625">
        <v>3541.69</v>
      </c>
      <c r="R105" s="625">
        <v>40735.53</v>
      </c>
      <c r="S105" s="625">
        <v>0</v>
      </c>
      <c r="T105" s="625">
        <v>3541.69</v>
      </c>
      <c r="U105" s="625"/>
      <c r="V105" s="625"/>
      <c r="W105" s="625"/>
      <c r="X105" s="625"/>
      <c r="Y105" s="625">
        <v>0</v>
      </c>
      <c r="Z105" s="625"/>
      <c r="AA105" s="625"/>
      <c r="AB105" s="476">
        <f t="shared" si="10"/>
        <v>416348.50000000006</v>
      </c>
      <c r="AC105" s="602"/>
      <c r="AD105" s="485">
        <v>209998.97</v>
      </c>
      <c r="AE105" s="488"/>
      <c r="AF105" s="476">
        <f t="shared" si="11"/>
        <v>250626.75</v>
      </c>
      <c r="AG105" s="537">
        <f t="shared" si="12"/>
        <v>44277.22</v>
      </c>
      <c r="AH105" s="474">
        <f t="shared" si="9"/>
        <v>416348.5</v>
      </c>
    </row>
    <row r="106" spans="1:34" x14ac:dyDescent="0.45">
      <c r="A106" s="693" t="s">
        <v>510</v>
      </c>
      <c r="B106" s="621">
        <v>112372.25</v>
      </c>
      <c r="C106" s="620"/>
      <c r="D106" s="621"/>
      <c r="E106" s="621">
        <v>129947.34</v>
      </c>
      <c r="F106" s="621">
        <f>112372.25</f>
        <v>112372.25</v>
      </c>
      <c r="G106" s="625">
        <v>145335.51999999999</v>
      </c>
      <c r="H106" s="621">
        <f>145335.52</f>
        <v>145335.51999999999</v>
      </c>
      <c r="I106" s="621">
        <v>110541.06000000001</v>
      </c>
      <c r="J106" s="621"/>
      <c r="K106" s="621">
        <v>114219.05</v>
      </c>
      <c r="L106" s="621">
        <v>110541.06</v>
      </c>
      <c r="M106" s="621">
        <v>120492.73000000001</v>
      </c>
      <c r="N106" s="621">
        <f>114219.05+129947.34</f>
        <v>244166.39</v>
      </c>
      <c r="O106" s="621">
        <v>203076.97</v>
      </c>
      <c r="P106" s="625">
        <f>203076.97</f>
        <v>203076.97</v>
      </c>
      <c r="Q106" s="625">
        <v>116104.57</v>
      </c>
      <c r="R106" s="625">
        <v>236597.3</v>
      </c>
      <c r="S106" s="625">
        <v>113755.70000000001</v>
      </c>
      <c r="T106" s="625">
        <v>113755.7</v>
      </c>
      <c r="U106" s="625">
        <v>100715.48</v>
      </c>
      <c r="V106" s="625">
        <v>100715.48</v>
      </c>
      <c r="W106" s="625">
        <v>76429.440000000002</v>
      </c>
      <c r="X106" s="625">
        <v>76429.440000000002</v>
      </c>
      <c r="Y106" s="625">
        <v>97698.59</v>
      </c>
      <c r="Z106" s="625">
        <v>97698.59</v>
      </c>
      <c r="AA106" s="625">
        <v>19894.12</v>
      </c>
      <c r="AB106" s="476">
        <f t="shared" si="10"/>
        <v>19894.119999999984</v>
      </c>
      <c r="AC106" s="602"/>
      <c r="AD106" s="485">
        <v>112372.25</v>
      </c>
      <c r="AE106" s="488"/>
      <c r="AF106" s="476">
        <f t="shared" si="11"/>
        <v>1348210.57</v>
      </c>
      <c r="AG106" s="537">
        <f t="shared" si="12"/>
        <v>1440688.7</v>
      </c>
      <c r="AH106" s="474">
        <f t="shared" si="9"/>
        <v>19894.120000000112</v>
      </c>
    </row>
    <row r="107" spans="1:34" x14ac:dyDescent="0.45">
      <c r="A107" s="694" t="s">
        <v>511</v>
      </c>
      <c r="B107" s="485">
        <v>128158.98999999999</v>
      </c>
      <c r="C107" s="484"/>
      <c r="D107" s="485"/>
      <c r="E107" s="485">
        <v>14615.01</v>
      </c>
      <c r="F107" s="485"/>
      <c r="G107" s="490">
        <v>15858.669999999998</v>
      </c>
      <c r="H107" s="485"/>
      <c r="I107" s="485"/>
      <c r="J107" s="485"/>
      <c r="K107" s="485"/>
      <c r="L107" s="485"/>
      <c r="M107" s="485"/>
      <c r="N107" s="485"/>
      <c r="O107" s="485"/>
      <c r="P107" s="490"/>
      <c r="Q107" s="490">
        <v>27313.8</v>
      </c>
      <c r="R107" s="490"/>
      <c r="S107" s="490">
        <v>18679.980000000003</v>
      </c>
      <c r="T107" s="490"/>
      <c r="U107" s="490">
        <v>16292.97</v>
      </c>
      <c r="V107" s="490">
        <v>0</v>
      </c>
      <c r="W107" s="490">
        <v>45897.33</v>
      </c>
      <c r="X107" s="490"/>
      <c r="Y107" s="490">
        <v>890.31</v>
      </c>
      <c r="Z107" s="490"/>
      <c r="AA107" s="490">
        <v>34669.730000000003</v>
      </c>
      <c r="AB107" s="476">
        <f t="shared" si="10"/>
        <v>302376.78999999998</v>
      </c>
      <c r="AC107" s="602"/>
      <c r="AD107" s="485">
        <v>128158.98999999999</v>
      </c>
      <c r="AE107" s="488"/>
      <c r="AF107" s="476">
        <f t="shared" si="11"/>
        <v>174217.80000000002</v>
      </c>
      <c r="AG107" s="537">
        <f t="shared" si="12"/>
        <v>0</v>
      </c>
      <c r="AH107" s="474">
        <f t="shared" si="9"/>
        <v>302376.79000000004</v>
      </c>
    </row>
    <row r="108" spans="1:34" s="560" customFormat="1" x14ac:dyDescent="0.45">
      <c r="A108" s="694" t="s">
        <v>525</v>
      </c>
      <c r="B108" s="485"/>
      <c r="C108" s="484"/>
      <c r="D108" s="485"/>
      <c r="E108" s="485"/>
      <c r="F108" s="485"/>
      <c r="G108" s="490"/>
      <c r="H108" s="485"/>
      <c r="I108" s="485"/>
      <c r="J108" s="485"/>
      <c r="K108" s="485"/>
      <c r="L108" s="485"/>
      <c r="M108" s="485"/>
      <c r="N108" s="485"/>
      <c r="O108" s="485">
        <v>7843.55</v>
      </c>
      <c r="P108" s="490">
        <v>7843.55</v>
      </c>
      <c r="Q108" s="490">
        <v>8540.7199999999993</v>
      </c>
      <c r="R108" s="490">
        <v>8540.7199999999993</v>
      </c>
      <c r="S108" s="490">
        <v>26313.670000000002</v>
      </c>
      <c r="T108" s="490">
        <v>26313.67</v>
      </c>
      <c r="U108" s="490"/>
      <c r="V108" s="490"/>
      <c r="W108" s="490"/>
      <c r="X108" s="490"/>
      <c r="Y108" s="490"/>
      <c r="Z108" s="490"/>
      <c r="AA108" s="490"/>
      <c r="AB108" s="476">
        <f t="shared" si="10"/>
        <v>3.637978807091713E-12</v>
      </c>
      <c r="AC108" s="602"/>
      <c r="AD108" s="485"/>
      <c r="AE108" s="488"/>
      <c r="AF108" s="476">
        <f t="shared" si="11"/>
        <v>42697.94</v>
      </c>
      <c r="AG108" s="537">
        <f t="shared" si="12"/>
        <v>42697.94</v>
      </c>
      <c r="AH108" s="474">
        <f t="shared" si="9"/>
        <v>0</v>
      </c>
    </row>
    <row r="109" spans="1:34" x14ac:dyDescent="0.45">
      <c r="A109" s="694" t="s">
        <v>512</v>
      </c>
      <c r="B109" s="485">
        <v>16415.170000000002</v>
      </c>
      <c r="C109" s="484"/>
      <c r="D109" s="485"/>
      <c r="E109" s="485">
        <v>48457.869999999995</v>
      </c>
      <c r="F109" s="485"/>
      <c r="G109" s="490">
        <v>61982.080000000002</v>
      </c>
      <c r="H109" s="485">
        <v>118228.34</v>
      </c>
      <c r="I109" s="485">
        <v>80869.38</v>
      </c>
      <c r="J109" s="485"/>
      <c r="K109" s="485">
        <v>77697.060000000012</v>
      </c>
      <c r="L109" s="485">
        <v>77697.06</v>
      </c>
      <c r="M109" s="485">
        <v>80399.790000000008</v>
      </c>
      <c r="N109" s="485"/>
      <c r="O109" s="485">
        <v>74670.909999999989</v>
      </c>
      <c r="P109" s="490">
        <f>74670.91</f>
        <v>74670.91</v>
      </c>
      <c r="Q109" s="490">
        <v>77455.55</v>
      </c>
      <c r="R109" s="490">
        <v>77455.55</v>
      </c>
      <c r="S109" s="490">
        <v>75658.22</v>
      </c>
      <c r="T109" s="490">
        <v>75658.22</v>
      </c>
      <c r="U109" s="490">
        <v>74717.53</v>
      </c>
      <c r="V109" s="490"/>
      <c r="W109" s="490">
        <v>50459.360000000008</v>
      </c>
      <c r="X109" s="490">
        <f>50459.36</f>
        <v>50459.360000000001</v>
      </c>
      <c r="Y109" s="490"/>
      <c r="Z109" s="490"/>
      <c r="AA109" s="490"/>
      <c r="AB109" s="476">
        <f t="shared" si="10"/>
        <v>244613.4800000001</v>
      </c>
      <c r="AC109" s="602"/>
      <c r="AD109" s="485">
        <v>16415.170000000002</v>
      </c>
      <c r="AE109" s="488"/>
      <c r="AF109" s="476">
        <f t="shared" si="11"/>
        <v>702367.75</v>
      </c>
      <c r="AG109" s="537">
        <f t="shared" si="12"/>
        <v>474169.43999999994</v>
      </c>
      <c r="AH109" s="474">
        <f t="shared" si="9"/>
        <v>244613.4800000001</v>
      </c>
    </row>
    <row r="110" spans="1:34" s="560" customFormat="1" x14ac:dyDescent="0.45">
      <c r="A110" s="694" t="s">
        <v>526</v>
      </c>
      <c r="B110" s="485"/>
      <c r="C110" s="484"/>
      <c r="D110" s="485"/>
      <c r="E110" s="485"/>
      <c r="F110" s="485"/>
      <c r="G110" s="490"/>
      <c r="H110" s="485"/>
      <c r="I110" s="485"/>
      <c r="J110" s="485"/>
      <c r="K110" s="485"/>
      <c r="L110" s="485"/>
      <c r="M110" s="485"/>
      <c r="N110" s="485"/>
      <c r="O110" s="485"/>
      <c r="P110" s="490"/>
      <c r="Q110" s="490"/>
      <c r="R110" s="490"/>
      <c r="S110" s="490"/>
      <c r="T110" s="490"/>
      <c r="U110" s="490"/>
      <c r="V110" s="490"/>
      <c r="W110" s="490">
        <v>346286.51</v>
      </c>
      <c r="X110" s="490"/>
      <c r="Y110" s="490">
        <v>762033.81</v>
      </c>
      <c r="Z110" s="490">
        <f>346286.51</f>
        <v>346286.51</v>
      </c>
      <c r="AA110" s="490">
        <v>806598.83000000007</v>
      </c>
      <c r="AB110" s="476">
        <f t="shared" si="10"/>
        <v>1568632.6400000001</v>
      </c>
      <c r="AC110" s="602"/>
      <c r="AD110" s="485"/>
      <c r="AE110" s="488"/>
      <c r="AF110" s="476">
        <f t="shared" si="11"/>
        <v>1914919.1500000001</v>
      </c>
      <c r="AG110" s="537">
        <f t="shared" si="12"/>
        <v>346286.51</v>
      </c>
      <c r="AH110" s="474">
        <f t="shared" si="9"/>
        <v>1568632.6400000001</v>
      </c>
    </row>
    <row r="111" spans="1:34" ht="19" thickBot="1" x14ac:dyDescent="0.5">
      <c r="A111" s="694" t="s">
        <v>487</v>
      </c>
      <c r="B111" s="485">
        <v>17873.900000000001</v>
      </c>
      <c r="C111" s="484"/>
      <c r="D111" s="485"/>
      <c r="E111" s="485"/>
      <c r="F111" s="485"/>
      <c r="G111" s="490"/>
      <c r="H111" s="485"/>
      <c r="I111" s="485"/>
      <c r="J111" s="485"/>
      <c r="K111" s="485"/>
      <c r="L111" s="485"/>
      <c r="M111" s="485"/>
      <c r="N111" s="485"/>
      <c r="O111" s="485"/>
      <c r="P111" s="490"/>
      <c r="Q111" s="490">
        <v>0</v>
      </c>
      <c r="R111" s="490"/>
      <c r="S111" s="590">
        <v>0</v>
      </c>
      <c r="T111" s="490"/>
      <c r="U111" s="490"/>
      <c r="V111" s="490"/>
      <c r="W111" s="490"/>
      <c r="X111" s="490"/>
      <c r="Y111" s="490">
        <v>0</v>
      </c>
      <c r="Z111" s="490"/>
      <c r="AA111" s="490"/>
      <c r="AB111" s="488">
        <f t="shared" si="10"/>
        <v>17873.900000000001</v>
      </c>
      <c r="AC111" s="602"/>
      <c r="AD111" s="485">
        <v>17873.900000000001</v>
      </c>
      <c r="AE111" s="488"/>
      <c r="AF111" s="476">
        <f t="shared" si="11"/>
        <v>0</v>
      </c>
      <c r="AG111" s="537">
        <f t="shared" si="12"/>
        <v>0</v>
      </c>
      <c r="AH111" s="485">
        <f t="shared" si="9"/>
        <v>17873.900000000001</v>
      </c>
    </row>
    <row r="112" spans="1:34" ht="19" thickBot="1" x14ac:dyDescent="0.5">
      <c r="A112" s="695" t="s">
        <v>6</v>
      </c>
      <c r="B112" s="492">
        <f>SUM(B6:B111)</f>
        <v>164112590.86590019</v>
      </c>
      <c r="C112" s="493"/>
      <c r="D112" s="494">
        <f t="shared" ref="D112:I112" si="13">SUM(D6:D111)</f>
        <v>29893442.849999998</v>
      </c>
      <c r="E112" s="494">
        <f t="shared" si="13"/>
        <v>64841266.93000003</v>
      </c>
      <c r="F112" s="495">
        <f t="shared" si="13"/>
        <v>65347253.890000008</v>
      </c>
      <c r="G112" s="498">
        <f t="shared" si="13"/>
        <v>64927403.290000021</v>
      </c>
      <c r="H112" s="496">
        <f t="shared" si="13"/>
        <v>32897017.419999998</v>
      </c>
      <c r="I112" s="495">
        <f t="shared" si="13"/>
        <v>64049472.93999999</v>
      </c>
      <c r="J112" s="492">
        <f t="shared" ref="J112:O112" si="14">SUM(J6:J111)</f>
        <v>62242563.930000015</v>
      </c>
      <c r="K112" s="492">
        <f t="shared" si="14"/>
        <v>62904957.629999995</v>
      </c>
      <c r="L112" s="496">
        <f t="shared" si="14"/>
        <v>145947713.78999996</v>
      </c>
      <c r="M112" s="494">
        <f t="shared" si="14"/>
        <v>65299349.849999994</v>
      </c>
      <c r="N112" s="494">
        <f t="shared" si="14"/>
        <v>82599564.830000028</v>
      </c>
      <c r="O112" s="497">
        <f t="shared" si="14"/>
        <v>65274881.120000005</v>
      </c>
      <c r="P112" s="498">
        <f>SUM(P6:P111)</f>
        <v>60541727.869999982</v>
      </c>
      <c r="Q112" s="499">
        <f>SUM(Q6:Q111)</f>
        <v>74468591.550000012</v>
      </c>
      <c r="R112" s="498">
        <v>61968948.959999993</v>
      </c>
      <c r="S112" s="499">
        <f t="shared" ref="S112:X112" si="15">SUM(S6:S111)</f>
        <v>69347066.479999974</v>
      </c>
      <c r="T112" s="498">
        <f t="shared" si="15"/>
        <v>86320869.530000031</v>
      </c>
      <c r="U112" s="499">
        <f t="shared" si="15"/>
        <v>67495668.350000024</v>
      </c>
      <c r="V112" s="498">
        <f t="shared" si="15"/>
        <v>38722847.769999996</v>
      </c>
      <c r="W112" s="507">
        <f t="shared" si="15"/>
        <v>63101254.419999994</v>
      </c>
      <c r="X112" s="498">
        <f t="shared" si="15"/>
        <v>98084883.269999996</v>
      </c>
      <c r="Y112" s="499">
        <f>SUM(Y6:Y111)</f>
        <v>100860999.00999999</v>
      </c>
      <c r="Z112" s="498">
        <f>SUM(Z6:Z111)</f>
        <v>71934104.690000042</v>
      </c>
      <c r="AA112" s="594">
        <f>SUM(AA6:AA111)</f>
        <v>72000621.690000027</v>
      </c>
      <c r="AB112" s="492">
        <f>SUM(AB6:AB111)</f>
        <v>162183185.32590023</v>
      </c>
      <c r="AC112" s="603"/>
      <c r="AD112" s="492">
        <f>SUM(AD6:AD111)</f>
        <v>164112590.86590019</v>
      </c>
      <c r="AE112" s="492"/>
      <c r="AF112" s="492">
        <f>SUM(AF6:AF111)</f>
        <v>834571533.25999987</v>
      </c>
      <c r="AG112" s="498">
        <f>SUM(AG6:AG111)</f>
        <v>836500938.80000031</v>
      </c>
      <c r="AH112" s="492">
        <f t="shared" si="9"/>
        <v>162183185.32589972</v>
      </c>
    </row>
    <row r="113" spans="1:34" x14ac:dyDescent="0.45">
      <c r="A113" s="696"/>
      <c r="B113" s="552"/>
      <c r="J113" s="725"/>
      <c r="P113" s="501"/>
      <c r="Q113" s="502"/>
      <c r="R113" s="501"/>
      <c r="S113" s="501"/>
      <c r="T113" s="501"/>
      <c r="U113" s="501"/>
      <c r="V113" s="501"/>
      <c r="W113" s="501"/>
      <c r="X113" s="509"/>
      <c r="Y113" s="501"/>
      <c r="Z113" s="501"/>
      <c r="AA113" s="509"/>
      <c r="AB113" s="473"/>
      <c r="AC113" s="473"/>
      <c r="AH113" s="473"/>
    </row>
    <row r="114" spans="1:34" x14ac:dyDescent="0.45">
      <c r="A114" s="698" t="s">
        <v>317</v>
      </c>
      <c r="B114" s="458"/>
      <c r="C114" s="458"/>
      <c r="D114" s="572"/>
      <c r="E114" s="460">
        <v>142414.73000000001</v>
      </c>
      <c r="G114" s="461">
        <v>67665.909999999989</v>
      </c>
      <c r="I114" s="460">
        <v>127526.68</v>
      </c>
      <c r="J114" s="460">
        <f>62242563.93-J112</f>
        <v>0</v>
      </c>
      <c r="K114" s="460">
        <v>149212.11000000002</v>
      </c>
      <c r="M114" s="460">
        <v>345394.14</v>
      </c>
      <c r="O114" s="673">
        <v>306049.37</v>
      </c>
      <c r="P114" s="501"/>
      <c r="Q114" s="509">
        <v>272952.73000000417</v>
      </c>
      <c r="R114" s="501"/>
      <c r="S114" s="461">
        <v>429414.78</v>
      </c>
      <c r="T114" s="501"/>
      <c r="U114" s="501">
        <v>384310.08</v>
      </c>
      <c r="V114" s="501"/>
      <c r="W114" s="673">
        <v>131376.06</v>
      </c>
      <c r="X114" s="501"/>
      <c r="Y114" s="501">
        <v>270493.39999999997</v>
      </c>
      <c r="Z114" s="501"/>
      <c r="AA114" s="501">
        <v>333483.52000000002</v>
      </c>
      <c r="AB114" s="696"/>
      <c r="AC114" s="696"/>
      <c r="AD114" s="696"/>
      <c r="AE114" s="696"/>
      <c r="AF114" s="696"/>
      <c r="AG114" s="501"/>
      <c r="AH114" s="696"/>
    </row>
    <row r="115" spans="1:34" x14ac:dyDescent="0.45">
      <c r="A115" s="698" t="s">
        <v>318</v>
      </c>
      <c r="B115" s="504"/>
      <c r="C115" s="504"/>
      <c r="D115" s="505"/>
      <c r="E115" s="505">
        <f>E112+E114</f>
        <v>64983681.660000026</v>
      </c>
      <c r="F115" s="505"/>
      <c r="G115" s="541">
        <f>G112+G114</f>
        <v>64995069.200000018</v>
      </c>
      <c r="H115" s="505"/>
      <c r="I115" s="505">
        <f>I112+I114</f>
        <v>64176999.61999999</v>
      </c>
      <c r="J115" s="726"/>
      <c r="K115" s="505">
        <f>K112+K114</f>
        <v>63054169.739999995</v>
      </c>
      <c r="L115" s="505"/>
      <c r="M115" s="505">
        <f>M112+M114</f>
        <v>65644743.989999995</v>
      </c>
      <c r="N115" s="505"/>
      <c r="O115" s="505">
        <f>O112+O114</f>
        <v>65580930.490000002</v>
      </c>
      <c r="P115" s="501"/>
      <c r="Q115" s="509">
        <v>74741544.280000016</v>
      </c>
      <c r="R115" s="501"/>
      <c r="S115" s="504">
        <f>S112+S114</f>
        <v>69776481.259999976</v>
      </c>
      <c r="T115" s="501"/>
      <c r="U115" s="509">
        <f>U112+U114</f>
        <v>67879978.430000022</v>
      </c>
      <c r="V115" s="501"/>
      <c r="W115" s="509">
        <f>W112+W114</f>
        <v>63232630.479999997</v>
      </c>
      <c r="X115" s="501"/>
      <c r="Y115" s="509">
        <f>Y112+Y114</f>
        <v>101131492.41</v>
      </c>
      <c r="Z115" s="509"/>
      <c r="AA115" s="509">
        <f>AA112+AA114</f>
        <v>72334105.210000023</v>
      </c>
      <c r="AB115" s="501"/>
      <c r="AC115" s="508"/>
      <c r="AD115" s="508"/>
      <c r="AE115" s="508"/>
      <c r="AF115" s="508"/>
      <c r="AG115" s="501"/>
      <c r="AH115" s="508"/>
    </row>
    <row r="116" spans="1:34" x14ac:dyDescent="0.45">
      <c r="B116" s="500"/>
      <c r="L116" s="608"/>
      <c r="Q116" s="556"/>
      <c r="R116" s="501"/>
      <c r="S116" s="501"/>
      <c r="T116" s="501"/>
      <c r="U116" s="501"/>
      <c r="V116" s="501"/>
      <c r="W116" s="501"/>
      <c r="Y116" s="501"/>
      <c r="Z116" s="501"/>
      <c r="AA116" s="501">
        <v>72334105.209999979</v>
      </c>
      <c r="AB116" s="727"/>
      <c r="AC116" s="699"/>
      <c r="AD116" s="473"/>
      <c r="AE116" s="473"/>
      <c r="AF116" s="473"/>
      <c r="AG116" s="501"/>
      <c r="AH116" s="473"/>
    </row>
    <row r="117" spans="1:34" x14ac:dyDescent="0.45">
      <c r="Q117" s="461"/>
      <c r="X117" s="461">
        <f>V112+X112+Z112</f>
        <v>208741835.73000002</v>
      </c>
      <c r="Y117" s="679"/>
      <c r="Z117" s="501"/>
      <c r="AA117" s="501"/>
      <c r="AB117" s="473"/>
      <c r="AC117" s="473"/>
      <c r="AD117" s="473"/>
      <c r="AE117" s="473"/>
      <c r="AF117" s="473"/>
      <c r="AG117" s="501"/>
      <c r="AH117" s="473"/>
    </row>
    <row r="118" spans="1:34" x14ac:dyDescent="0.45">
      <c r="B118" s="500"/>
      <c r="Q118" s="458"/>
      <c r="X118" s="461">
        <f>W112+Y112+AA112</f>
        <v>235962875.12</v>
      </c>
      <c r="Y118" s="501"/>
      <c r="Z118" s="501"/>
      <c r="AA118" s="501"/>
      <c r="AB118" s="473"/>
      <c r="AC118" s="473"/>
      <c r="AD118" s="473"/>
      <c r="AE118" s="473"/>
      <c r="AF118" s="473"/>
      <c r="AG118" s="501"/>
      <c r="AH118" s="473"/>
    </row>
    <row r="119" spans="1:34" x14ac:dyDescent="0.45">
      <c r="X119" s="461">
        <f>W112+Y112+AA112</f>
        <v>235962875.12</v>
      </c>
      <c r="Y119" s="501"/>
      <c r="Z119" s="501"/>
      <c r="AA119" s="501"/>
      <c r="AB119" s="473"/>
      <c r="AC119" s="473"/>
      <c r="AD119" s="473"/>
      <c r="AE119" s="473"/>
      <c r="AF119" s="473"/>
      <c r="AG119" s="501"/>
      <c r="AH119" s="473"/>
    </row>
    <row r="120" spans="1:34" x14ac:dyDescent="0.45">
      <c r="Y120" s="501"/>
      <c r="Z120" s="501"/>
      <c r="AA120" s="501"/>
      <c r="AB120" s="473"/>
      <c r="AC120" s="473"/>
      <c r="AD120" s="473"/>
      <c r="AE120" s="473"/>
      <c r="AF120" s="473"/>
      <c r="AG120" s="501"/>
      <c r="AH120" s="473"/>
    </row>
  </sheetData>
  <mergeCells count="1">
    <mergeCell ref="A1:A2"/>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4"/>
  <sheetViews>
    <sheetView workbookViewId="0">
      <selection activeCell="F15" sqref="F15"/>
    </sheetView>
  </sheetViews>
  <sheetFormatPr defaultRowHeight="18.5" x14ac:dyDescent="0.45"/>
  <cols>
    <col min="1" max="1" width="8.90625" style="463"/>
    <col min="2" max="2" width="15.36328125" style="463" customWidth="1"/>
    <col min="3" max="3" width="18.6328125" style="649" customWidth="1"/>
    <col min="4" max="4" width="22.54296875" style="463" customWidth="1"/>
    <col min="5" max="5" width="32.36328125" style="463" customWidth="1"/>
    <col min="6" max="6" width="48" style="463" customWidth="1"/>
    <col min="7" max="7" width="23.36328125" style="652" customWidth="1"/>
  </cols>
  <sheetData>
    <row r="1" spans="1:7" x14ac:dyDescent="0.45">
      <c r="D1" s="650" t="s">
        <v>527</v>
      </c>
      <c r="E1" s="650"/>
      <c r="G1" s="651"/>
    </row>
    <row r="3" spans="1:7" x14ac:dyDescent="0.45">
      <c r="A3" s="653"/>
    </row>
    <row r="4" spans="1:7" ht="18" x14ac:dyDescent="0.4">
      <c r="A4" s="653" t="s">
        <v>528</v>
      </c>
      <c r="B4" s="653" t="s">
        <v>529</v>
      </c>
      <c r="C4" s="654" t="s">
        <v>530</v>
      </c>
      <c r="D4" s="653" t="s">
        <v>531</v>
      </c>
      <c r="E4" s="653" t="s">
        <v>532</v>
      </c>
      <c r="F4" s="653" t="s">
        <v>533</v>
      </c>
      <c r="G4" s="655" t="s">
        <v>534</v>
      </c>
    </row>
    <row r="5" spans="1:7" x14ac:dyDescent="0.45">
      <c r="A5" s="656" t="s">
        <v>535</v>
      </c>
      <c r="B5" s="657" t="s">
        <v>536</v>
      </c>
      <c r="C5" s="658">
        <v>4500000</v>
      </c>
      <c r="D5" s="659" t="s">
        <v>537</v>
      </c>
      <c r="E5" s="659"/>
      <c r="F5" s="660" t="s">
        <v>538</v>
      </c>
      <c r="G5" s="661">
        <v>47286.45</v>
      </c>
    </row>
    <row r="6" spans="1:7" x14ac:dyDescent="0.45">
      <c r="A6" s="656" t="s">
        <v>535</v>
      </c>
      <c r="B6" s="657" t="s">
        <v>536</v>
      </c>
      <c r="C6" s="658">
        <v>1800000</v>
      </c>
      <c r="D6" s="659" t="s">
        <v>537</v>
      </c>
      <c r="E6" s="659"/>
      <c r="F6" s="660" t="s">
        <v>538</v>
      </c>
      <c r="G6" s="661">
        <v>687898.54</v>
      </c>
    </row>
    <row r="7" spans="1:7" x14ac:dyDescent="0.45">
      <c r="A7" s="656" t="s">
        <v>535</v>
      </c>
      <c r="B7" s="657" t="s">
        <v>539</v>
      </c>
      <c r="C7" s="658">
        <v>1200000</v>
      </c>
      <c r="D7" s="659" t="s">
        <v>537</v>
      </c>
      <c r="E7" s="659"/>
      <c r="F7" s="660" t="s">
        <v>538</v>
      </c>
      <c r="G7" s="661">
        <v>106666.35</v>
      </c>
    </row>
    <row r="8" spans="1:7" x14ac:dyDescent="0.45">
      <c r="A8" s="656" t="s">
        <v>535</v>
      </c>
      <c r="B8" s="657" t="s">
        <v>540</v>
      </c>
      <c r="C8" s="658" t="s">
        <v>541</v>
      </c>
      <c r="D8" s="659" t="s">
        <v>537</v>
      </c>
      <c r="E8" s="659"/>
      <c r="F8" s="660" t="s">
        <v>538</v>
      </c>
      <c r="G8" s="661">
        <v>1663098.69</v>
      </c>
    </row>
    <row r="9" spans="1:7" x14ac:dyDescent="0.45">
      <c r="A9" s="656" t="s">
        <v>535</v>
      </c>
      <c r="B9" s="657" t="s">
        <v>540</v>
      </c>
      <c r="C9" s="658" t="s">
        <v>542</v>
      </c>
      <c r="D9" s="659" t="s">
        <v>537</v>
      </c>
      <c r="E9" s="659"/>
      <c r="F9" s="660" t="s">
        <v>538</v>
      </c>
      <c r="G9" s="661">
        <v>808794.12</v>
      </c>
    </row>
    <row r="10" spans="1:7" x14ac:dyDescent="0.45">
      <c r="A10" s="656" t="s">
        <v>535</v>
      </c>
      <c r="B10" s="657" t="s">
        <v>540</v>
      </c>
      <c r="C10" s="658" t="s">
        <v>543</v>
      </c>
      <c r="D10" s="659" t="s">
        <v>537</v>
      </c>
      <c r="E10" s="659"/>
      <c r="F10" s="660" t="s">
        <v>538</v>
      </c>
      <c r="G10" s="661">
        <v>840805.87</v>
      </c>
    </row>
    <row r="11" spans="1:7" x14ac:dyDescent="0.45">
      <c r="A11" s="656" t="s">
        <v>535</v>
      </c>
      <c r="B11" s="657" t="s">
        <v>544</v>
      </c>
      <c r="C11" s="658" t="s">
        <v>545</v>
      </c>
      <c r="D11" s="659" t="s">
        <v>537</v>
      </c>
      <c r="E11" s="659"/>
      <c r="F11" s="660" t="s">
        <v>538</v>
      </c>
      <c r="G11" s="661">
        <v>4217392.6399999997</v>
      </c>
    </row>
    <row r="12" spans="1:7" x14ac:dyDescent="0.45">
      <c r="A12" s="656" t="s">
        <v>535</v>
      </c>
      <c r="B12" s="657" t="s">
        <v>544</v>
      </c>
      <c r="C12" s="658" t="s">
        <v>546</v>
      </c>
      <c r="D12" s="659" t="s">
        <v>537</v>
      </c>
      <c r="E12" s="659"/>
      <c r="F12" s="660" t="s">
        <v>538</v>
      </c>
      <c r="G12" s="661">
        <v>4092053.54</v>
      </c>
    </row>
    <row r="13" spans="1:7" x14ac:dyDescent="0.45">
      <c r="A13" s="656" t="s">
        <v>535</v>
      </c>
      <c r="B13" s="657" t="s">
        <v>544</v>
      </c>
      <c r="C13" s="658">
        <v>6001000</v>
      </c>
      <c r="D13" s="659" t="s">
        <v>537</v>
      </c>
      <c r="E13" s="659"/>
      <c r="F13" s="660" t="s">
        <v>538</v>
      </c>
      <c r="G13" s="661">
        <v>80956.179999999993</v>
      </c>
    </row>
    <row r="14" spans="1:7" x14ac:dyDescent="0.45">
      <c r="A14" s="656" t="s">
        <v>535</v>
      </c>
      <c r="B14" s="657" t="s">
        <v>544</v>
      </c>
      <c r="C14" s="658">
        <v>2400000</v>
      </c>
      <c r="D14" s="659" t="s">
        <v>537</v>
      </c>
      <c r="E14" s="659"/>
      <c r="F14" s="660" t="s">
        <v>538</v>
      </c>
      <c r="G14" s="661">
        <v>433861.2</v>
      </c>
    </row>
    <row r="15" spans="1:7" x14ac:dyDescent="0.45">
      <c r="A15" s="656" t="s">
        <v>535</v>
      </c>
      <c r="B15" s="657" t="s">
        <v>547</v>
      </c>
      <c r="C15" s="658">
        <v>600000</v>
      </c>
      <c r="D15" s="659" t="s">
        <v>537</v>
      </c>
      <c r="E15" s="659"/>
      <c r="F15" s="660" t="s">
        <v>538</v>
      </c>
      <c r="G15" s="661">
        <v>120024.28</v>
      </c>
    </row>
    <row r="16" spans="1:7" x14ac:dyDescent="0.45">
      <c r="A16" s="656" t="s">
        <v>535</v>
      </c>
      <c r="B16" s="657" t="s">
        <v>548</v>
      </c>
      <c r="C16" s="658" t="s">
        <v>549</v>
      </c>
      <c r="D16" s="659" t="s">
        <v>537</v>
      </c>
      <c r="E16" s="659"/>
      <c r="F16" s="660" t="s">
        <v>538</v>
      </c>
      <c r="G16" s="661">
        <v>10459.58</v>
      </c>
    </row>
    <row r="17" spans="1:7" x14ac:dyDescent="0.45">
      <c r="A17" s="656" t="s">
        <v>535</v>
      </c>
      <c r="B17" s="657" t="s">
        <v>550</v>
      </c>
      <c r="C17" s="658" t="s">
        <v>551</v>
      </c>
      <c r="D17" s="659" t="s">
        <v>537</v>
      </c>
      <c r="E17" s="659"/>
      <c r="F17" s="660" t="s">
        <v>538</v>
      </c>
      <c r="G17" s="661">
        <v>1302794.97</v>
      </c>
    </row>
    <row r="18" spans="1:7" x14ac:dyDescent="0.45">
      <c r="A18" s="656" t="s">
        <v>535</v>
      </c>
      <c r="B18" s="657" t="s">
        <v>550</v>
      </c>
      <c r="C18" s="662" t="s">
        <v>552</v>
      </c>
      <c r="D18" s="659" t="s">
        <v>537</v>
      </c>
      <c r="E18" s="659"/>
      <c r="F18" s="660" t="s">
        <v>538</v>
      </c>
      <c r="G18" s="661">
        <v>9476.4699999999993</v>
      </c>
    </row>
    <row r="19" spans="1:7" x14ac:dyDescent="0.45">
      <c r="A19" s="656" t="s">
        <v>535</v>
      </c>
      <c r="B19" s="657" t="s">
        <v>553</v>
      </c>
      <c r="C19" s="658" t="s">
        <v>554</v>
      </c>
      <c r="D19" s="659" t="s">
        <v>537</v>
      </c>
      <c r="E19" s="659"/>
      <c r="F19" s="660" t="s">
        <v>538</v>
      </c>
      <c r="G19" s="661">
        <v>1360991.54</v>
      </c>
    </row>
    <row r="20" spans="1:7" x14ac:dyDescent="0.45">
      <c r="A20" s="656" t="s">
        <v>535</v>
      </c>
      <c r="B20" s="657" t="s">
        <v>550</v>
      </c>
      <c r="C20" s="658" t="s">
        <v>543</v>
      </c>
      <c r="D20" s="659" t="s">
        <v>537</v>
      </c>
      <c r="E20" s="659"/>
      <c r="F20" s="660" t="s">
        <v>538</v>
      </c>
      <c r="G20" s="661">
        <v>665591.79</v>
      </c>
    </row>
    <row r="21" spans="1:7" x14ac:dyDescent="0.45">
      <c r="A21" s="656" t="s">
        <v>535</v>
      </c>
      <c r="B21" s="657" t="s">
        <v>553</v>
      </c>
      <c r="C21" s="658" t="s">
        <v>555</v>
      </c>
      <c r="D21" s="659" t="s">
        <v>537</v>
      </c>
      <c r="E21" s="659"/>
      <c r="F21" s="660" t="s">
        <v>538</v>
      </c>
      <c r="G21" s="661">
        <v>7766639.4199999999</v>
      </c>
    </row>
    <row r="22" spans="1:7" x14ac:dyDescent="0.45">
      <c r="A22" s="656" t="s">
        <v>535</v>
      </c>
      <c r="B22" s="657" t="s">
        <v>553</v>
      </c>
      <c r="C22" s="658">
        <v>2400000</v>
      </c>
      <c r="D22" s="659" t="s">
        <v>537</v>
      </c>
      <c r="E22" s="659"/>
      <c r="F22" s="660" t="s">
        <v>538</v>
      </c>
      <c r="G22" s="661">
        <v>256870.98</v>
      </c>
    </row>
    <row r="23" spans="1:7" x14ac:dyDescent="0.45">
      <c r="A23" s="656" t="s">
        <v>535</v>
      </c>
      <c r="B23" s="657" t="s">
        <v>553</v>
      </c>
      <c r="C23" s="658" t="s">
        <v>556</v>
      </c>
      <c r="D23" s="659" t="s">
        <v>537</v>
      </c>
      <c r="E23" s="659"/>
      <c r="F23" s="660" t="s">
        <v>538</v>
      </c>
      <c r="G23" s="661">
        <v>364610.62</v>
      </c>
    </row>
    <row r="24" spans="1:7" x14ac:dyDescent="0.45">
      <c r="A24" s="656" t="s">
        <v>535</v>
      </c>
      <c r="B24" s="657" t="s">
        <v>557</v>
      </c>
      <c r="C24" s="658">
        <v>1800000</v>
      </c>
      <c r="D24" s="659" t="s">
        <v>537</v>
      </c>
      <c r="E24" s="659"/>
      <c r="F24" s="660" t="s">
        <v>538</v>
      </c>
      <c r="G24" s="661">
        <v>192160.38</v>
      </c>
    </row>
    <row r="25" spans="1:7" x14ac:dyDescent="0.45">
      <c r="A25" s="656" t="s">
        <v>535</v>
      </c>
      <c r="B25" s="657" t="s">
        <v>557</v>
      </c>
      <c r="C25" s="658">
        <v>4500000</v>
      </c>
      <c r="D25" s="659" t="s">
        <v>537</v>
      </c>
      <c r="E25" s="659"/>
      <c r="F25" s="660" t="s">
        <v>538</v>
      </c>
      <c r="G25" s="661">
        <v>225133.36</v>
      </c>
    </row>
    <row r="26" spans="1:7" x14ac:dyDescent="0.45">
      <c r="A26" s="656" t="s">
        <v>535</v>
      </c>
      <c r="B26" s="657" t="s">
        <v>557</v>
      </c>
      <c r="C26" s="658">
        <v>2100000</v>
      </c>
      <c r="D26" s="659" t="s">
        <v>537</v>
      </c>
      <c r="E26" s="659"/>
      <c r="F26" s="660" t="s">
        <v>538</v>
      </c>
      <c r="G26" s="661">
        <v>231941.44</v>
      </c>
    </row>
    <row r="27" spans="1:7" x14ac:dyDescent="0.45">
      <c r="A27" s="656" t="s">
        <v>535</v>
      </c>
      <c r="B27" s="657" t="s">
        <v>558</v>
      </c>
      <c r="C27" s="658" t="s">
        <v>559</v>
      </c>
      <c r="D27" s="659" t="s">
        <v>537</v>
      </c>
      <c r="E27" s="659"/>
      <c r="F27" s="660" t="s">
        <v>538</v>
      </c>
      <c r="G27" s="661">
        <v>7210662.2400000002</v>
      </c>
    </row>
    <row r="28" spans="1:7" x14ac:dyDescent="0.45">
      <c r="A28" s="656" t="s">
        <v>535</v>
      </c>
      <c r="B28" s="657" t="s">
        <v>558</v>
      </c>
      <c r="C28" s="658">
        <v>1800000</v>
      </c>
      <c r="D28" s="659" t="s">
        <v>537</v>
      </c>
      <c r="E28" s="659"/>
      <c r="F28" s="660" t="s">
        <v>538</v>
      </c>
      <c r="G28" s="661">
        <v>28065.66</v>
      </c>
    </row>
    <row r="29" spans="1:7" x14ac:dyDescent="0.45">
      <c r="A29" s="656" t="s">
        <v>535</v>
      </c>
      <c r="B29" s="657" t="s">
        <v>558</v>
      </c>
      <c r="C29" s="658">
        <v>5900000</v>
      </c>
      <c r="D29" s="659" t="s">
        <v>537</v>
      </c>
      <c r="E29" s="659"/>
      <c r="F29" s="660" t="s">
        <v>538</v>
      </c>
      <c r="G29" s="661">
        <v>65925.09</v>
      </c>
    </row>
    <row r="30" spans="1:7" x14ac:dyDescent="0.45">
      <c r="A30" s="656" t="s">
        <v>535</v>
      </c>
      <c r="B30" s="657" t="s">
        <v>558</v>
      </c>
      <c r="C30" s="658">
        <v>700000</v>
      </c>
      <c r="D30" s="659" t="s">
        <v>537</v>
      </c>
      <c r="E30" s="659"/>
      <c r="F30" s="660" t="s">
        <v>538</v>
      </c>
      <c r="G30" s="661">
        <v>574733.09</v>
      </c>
    </row>
    <row r="31" spans="1:7" x14ac:dyDescent="0.45">
      <c r="A31" s="656" t="s">
        <v>535</v>
      </c>
      <c r="B31" s="657" t="s">
        <v>560</v>
      </c>
      <c r="C31" s="658">
        <v>4900000</v>
      </c>
      <c r="D31" s="659" t="s">
        <v>537</v>
      </c>
      <c r="E31" s="659"/>
      <c r="F31" s="660" t="s">
        <v>538</v>
      </c>
      <c r="G31" s="661">
        <v>100715.48</v>
      </c>
    </row>
    <row r="32" spans="1:7" x14ac:dyDescent="0.45">
      <c r="A32" s="656" t="s">
        <v>535</v>
      </c>
      <c r="B32" s="657" t="s">
        <v>560</v>
      </c>
      <c r="C32" s="658" t="s">
        <v>561</v>
      </c>
      <c r="D32" s="659" t="s">
        <v>537</v>
      </c>
      <c r="E32" s="659"/>
      <c r="F32" s="660" t="s">
        <v>538</v>
      </c>
      <c r="G32" s="661">
        <v>194807.51</v>
      </c>
    </row>
    <row r="33" spans="1:7" x14ac:dyDescent="0.45">
      <c r="A33" s="656" t="s">
        <v>535</v>
      </c>
      <c r="B33" s="657" t="s">
        <v>560</v>
      </c>
      <c r="C33" s="658">
        <v>1800000</v>
      </c>
      <c r="D33" s="659" t="s">
        <v>537</v>
      </c>
      <c r="E33" s="659"/>
      <c r="F33" s="660" t="s">
        <v>538</v>
      </c>
      <c r="G33" s="661">
        <v>250419.92</v>
      </c>
    </row>
    <row r="34" spans="1:7" x14ac:dyDescent="0.45">
      <c r="A34" s="656" t="s">
        <v>535</v>
      </c>
      <c r="B34" s="657" t="s">
        <v>560</v>
      </c>
      <c r="C34" s="658">
        <v>4500000</v>
      </c>
      <c r="D34" s="659" t="s">
        <v>537</v>
      </c>
      <c r="E34" s="659"/>
      <c r="F34" s="660" t="s">
        <v>538</v>
      </c>
      <c r="G34" s="661">
        <v>783936.77</v>
      </c>
    </row>
    <row r="35" spans="1:7" x14ac:dyDescent="0.45">
      <c r="A35" s="656" t="s">
        <v>535</v>
      </c>
      <c r="B35" s="657" t="s">
        <v>560</v>
      </c>
      <c r="C35" s="658" t="s">
        <v>562</v>
      </c>
      <c r="D35" s="659" t="s">
        <v>537</v>
      </c>
      <c r="E35" s="659"/>
      <c r="F35" s="660" t="s">
        <v>538</v>
      </c>
      <c r="G35" s="661">
        <v>964152.74</v>
      </c>
    </row>
    <row r="36" spans="1:7" x14ac:dyDescent="0.45">
      <c r="A36" s="656" t="s">
        <v>535</v>
      </c>
      <c r="B36" s="657" t="s">
        <v>563</v>
      </c>
      <c r="C36" s="658">
        <v>1400000</v>
      </c>
      <c r="D36" s="659" t="s">
        <v>537</v>
      </c>
      <c r="E36" s="659"/>
      <c r="F36" s="660" t="s">
        <v>538</v>
      </c>
      <c r="G36" s="661">
        <v>65283.9</v>
      </c>
    </row>
    <row r="37" spans="1:7" x14ac:dyDescent="0.45">
      <c r="A37" s="656" t="s">
        <v>535</v>
      </c>
      <c r="B37" s="657" t="s">
        <v>563</v>
      </c>
      <c r="C37" s="658">
        <v>1800000</v>
      </c>
      <c r="D37" s="659" t="s">
        <v>537</v>
      </c>
      <c r="E37" s="659"/>
      <c r="F37" s="660" t="s">
        <v>538</v>
      </c>
      <c r="G37" s="661">
        <v>140970.94</v>
      </c>
    </row>
    <row r="38" spans="1:7" x14ac:dyDescent="0.45">
      <c r="A38" s="656" t="s">
        <v>535</v>
      </c>
      <c r="B38" s="657" t="s">
        <v>563</v>
      </c>
      <c r="C38" s="658" t="s">
        <v>564</v>
      </c>
      <c r="D38" s="659" t="s">
        <v>537</v>
      </c>
      <c r="E38" s="659"/>
      <c r="F38" s="660" t="s">
        <v>538</v>
      </c>
      <c r="G38" s="661">
        <v>176114.89</v>
      </c>
    </row>
    <row r="39" spans="1:7" x14ac:dyDescent="0.45">
      <c r="A39" s="656" t="s">
        <v>535</v>
      </c>
      <c r="B39" s="657" t="s">
        <v>563</v>
      </c>
      <c r="C39" s="658">
        <v>2600000</v>
      </c>
      <c r="D39" s="659" t="s">
        <v>537</v>
      </c>
      <c r="E39" s="659"/>
      <c r="F39" s="660" t="s">
        <v>538</v>
      </c>
      <c r="G39" s="661">
        <v>762474.09</v>
      </c>
    </row>
    <row r="40" spans="1:7" x14ac:dyDescent="0.45">
      <c r="A40" s="656" t="s">
        <v>535</v>
      </c>
      <c r="B40" s="657" t="s">
        <v>565</v>
      </c>
      <c r="C40" s="658" t="s">
        <v>541</v>
      </c>
      <c r="D40" s="659" t="s">
        <v>537</v>
      </c>
      <c r="E40" s="659"/>
      <c r="F40" s="660" t="s">
        <v>538</v>
      </c>
      <c r="G40" s="661">
        <v>1505579.27</v>
      </c>
    </row>
    <row r="41" spans="1:7" x14ac:dyDescent="0.45">
      <c r="A41" s="656" t="s">
        <v>535</v>
      </c>
      <c r="B41" s="657" t="s">
        <v>565</v>
      </c>
      <c r="C41" s="658">
        <v>4500000</v>
      </c>
      <c r="D41" s="659" t="s">
        <v>537</v>
      </c>
      <c r="E41" s="659"/>
      <c r="F41" s="660" t="s">
        <v>538</v>
      </c>
      <c r="G41" s="661">
        <v>383779.26</v>
      </c>
    </row>
    <row r="42" spans="1:7" ht="19" thickBot="1" x14ac:dyDescent="0.5">
      <c r="A42" s="663" t="s">
        <v>535</v>
      </c>
      <c r="B42" s="664" t="s">
        <v>565</v>
      </c>
      <c r="C42" s="665" t="s">
        <v>566</v>
      </c>
      <c r="D42" s="666" t="s">
        <v>537</v>
      </c>
      <c r="E42" s="666"/>
      <c r="F42" s="667" t="s">
        <v>538</v>
      </c>
      <c r="G42" s="668">
        <v>29718.51</v>
      </c>
    </row>
    <row r="43" spans="1:7" ht="19" thickBot="1" x14ac:dyDescent="0.5">
      <c r="A43" s="669" t="s">
        <v>6</v>
      </c>
      <c r="B43" s="670"/>
      <c r="C43" s="671"/>
      <c r="D43" s="670"/>
      <c r="E43" s="670"/>
      <c r="F43" s="670"/>
      <c r="G43" s="672">
        <f>SUM(G5:G42)</f>
        <v>38722847.770000003</v>
      </c>
    </row>
    <row r="44" spans="1:7" x14ac:dyDescent="0.45">
      <c r="G44" s="652">
        <f>SUBTOTAL(9,G8:G43)</f>
        <v>76603844.200000018</v>
      </c>
    </row>
  </sheetData>
  <autoFilter ref="A4:G43" xr:uid="{00000000-0009-0000-0000-00000D000000}"/>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401"/>
  <sheetViews>
    <sheetView topLeftCell="A50" workbookViewId="0">
      <selection activeCell="C48" sqref="C48"/>
    </sheetView>
  </sheetViews>
  <sheetFormatPr defaultRowHeight="18.5" x14ac:dyDescent="0.45"/>
  <cols>
    <col min="1" max="1" width="78.08984375" style="688" customWidth="1"/>
    <col min="2" max="2" width="21.90625" style="460" customWidth="1"/>
    <col min="3" max="3" width="19.36328125" style="682" customWidth="1"/>
    <col min="4" max="4" width="33.54296875" style="675" customWidth="1"/>
  </cols>
  <sheetData>
    <row r="1" spans="1:4" ht="14.4" customHeight="1" x14ac:dyDescent="0.45">
      <c r="A1" s="1036" t="s">
        <v>567</v>
      </c>
      <c r="C1" s="683"/>
      <c r="D1" s="674"/>
    </row>
    <row r="2" spans="1:4" s="560" customFormat="1" ht="14.4" customHeight="1" x14ac:dyDescent="0.45">
      <c r="A2" s="1036"/>
      <c r="B2" s="460"/>
      <c r="C2" s="683"/>
      <c r="D2" s="674"/>
    </row>
    <row r="3" spans="1:4" s="560" customFormat="1" ht="14.4" customHeight="1" x14ac:dyDescent="0.45">
      <c r="A3" s="1036"/>
      <c r="B3" s="460"/>
      <c r="C3" s="683"/>
      <c r="D3" s="674"/>
    </row>
    <row r="4" spans="1:4" ht="15" customHeight="1" thickBot="1" x14ac:dyDescent="0.5">
      <c r="A4" s="1037"/>
      <c r="C4" s="684"/>
      <c r="D4" s="676"/>
    </row>
    <row r="5" spans="1:4" ht="19" thickBot="1" x14ac:dyDescent="0.4">
      <c r="A5" s="685">
        <v>44278</v>
      </c>
      <c r="B5" s="466" t="s">
        <v>6</v>
      </c>
      <c r="C5" s="686" t="s">
        <v>568</v>
      </c>
      <c r="D5" s="677" t="s">
        <v>569</v>
      </c>
    </row>
    <row r="6" spans="1:4" ht="19" thickBot="1" x14ac:dyDescent="0.5">
      <c r="A6" s="687"/>
      <c r="B6" s="471"/>
      <c r="C6" s="684"/>
      <c r="D6" s="676"/>
    </row>
    <row r="7" spans="1:4" x14ac:dyDescent="0.45">
      <c r="B7" s="473"/>
      <c r="C7" s="684"/>
      <c r="D7" s="676"/>
    </row>
    <row r="8" spans="1:4" x14ac:dyDescent="0.45">
      <c r="A8" s="689" t="s">
        <v>25</v>
      </c>
      <c r="B8" s="476">
        <v>29129144.420000002</v>
      </c>
      <c r="C8" s="690" t="s">
        <v>457</v>
      </c>
      <c r="D8" s="676" t="s">
        <v>570</v>
      </c>
    </row>
    <row r="9" spans="1:4" x14ac:dyDescent="0.45">
      <c r="A9" s="689" t="s">
        <v>24</v>
      </c>
      <c r="B9" s="476">
        <v>-1034422.4259999967</v>
      </c>
      <c r="C9" s="690" t="s">
        <v>457</v>
      </c>
      <c r="D9" s="676"/>
    </row>
    <row r="10" spans="1:4" x14ac:dyDescent="0.45">
      <c r="A10" s="689" t="s">
        <v>361</v>
      </c>
      <c r="B10" s="476">
        <v>25362113.996600065</v>
      </c>
      <c r="C10" s="690" t="s">
        <v>457</v>
      </c>
      <c r="D10" s="676"/>
    </row>
    <row r="11" spans="1:4" x14ac:dyDescent="0.45">
      <c r="A11" s="689" t="s">
        <v>362</v>
      </c>
      <c r="B11" s="476">
        <v>-0.44000000134110451</v>
      </c>
      <c r="C11" s="690" t="s">
        <v>457</v>
      </c>
      <c r="D11" s="676"/>
    </row>
    <row r="12" spans="1:4" x14ac:dyDescent="0.45">
      <c r="A12" s="689" t="s">
        <v>31</v>
      </c>
      <c r="B12" s="476">
        <v>-421665.98999998719</v>
      </c>
      <c r="C12" s="690" t="s">
        <v>457</v>
      </c>
      <c r="D12" s="676"/>
    </row>
    <row r="13" spans="1:4" x14ac:dyDescent="0.45">
      <c r="A13" s="689" t="s">
        <v>189</v>
      </c>
      <c r="B13" s="476">
        <v>-2348.8999999994412</v>
      </c>
      <c r="C13" s="690" t="s">
        <v>571</v>
      </c>
      <c r="D13" s="676" t="s">
        <v>572</v>
      </c>
    </row>
    <row r="14" spans="1:4" x14ac:dyDescent="0.45">
      <c r="A14" s="691" t="s">
        <v>363</v>
      </c>
      <c r="B14" s="476">
        <v>6531304.2500000354</v>
      </c>
      <c r="C14" s="690" t="s">
        <v>457</v>
      </c>
      <c r="D14" s="677"/>
    </row>
    <row r="15" spans="1:4" x14ac:dyDescent="0.45">
      <c r="A15" s="691" t="s">
        <v>364</v>
      </c>
      <c r="B15" s="476">
        <v>8742058.2040000185</v>
      </c>
      <c r="C15" s="690" t="s">
        <v>457</v>
      </c>
      <c r="D15" s="676"/>
    </row>
    <row r="16" spans="1:4" x14ac:dyDescent="0.45">
      <c r="A16" s="691" t="s">
        <v>86</v>
      </c>
      <c r="B16" s="476">
        <v>93024.000000000116</v>
      </c>
      <c r="C16" s="690" t="s">
        <v>458</v>
      </c>
      <c r="D16" s="676"/>
    </row>
    <row r="17" spans="1:4" x14ac:dyDescent="0.45">
      <c r="A17" s="691" t="s">
        <v>334</v>
      </c>
      <c r="B17" s="476">
        <v>113737.99999999837</v>
      </c>
      <c r="C17" s="690" t="s">
        <v>458</v>
      </c>
      <c r="D17" s="676"/>
    </row>
    <row r="18" spans="1:4" x14ac:dyDescent="0.45">
      <c r="A18" s="691" t="s">
        <v>459</v>
      </c>
      <c r="B18" s="476">
        <v>94994.15</v>
      </c>
      <c r="C18" s="690" t="s">
        <v>458</v>
      </c>
      <c r="D18" s="676"/>
    </row>
    <row r="19" spans="1:4" x14ac:dyDescent="0.45">
      <c r="A19" s="691" t="s">
        <v>41</v>
      </c>
      <c r="B19" s="476">
        <v>604156.05999999959</v>
      </c>
      <c r="C19" s="690" t="s">
        <v>458</v>
      </c>
      <c r="D19" s="676"/>
    </row>
    <row r="20" spans="1:4" x14ac:dyDescent="0.45">
      <c r="A20" s="691" t="s">
        <v>26</v>
      </c>
      <c r="B20" s="476">
        <v>9284913.0200000145</v>
      </c>
      <c r="C20" s="690" t="s">
        <v>457</v>
      </c>
      <c r="D20" s="677"/>
    </row>
    <row r="21" spans="1:4" x14ac:dyDescent="0.45">
      <c r="A21" s="691" t="s">
        <v>36</v>
      </c>
      <c r="B21" s="476">
        <v>4689046.6399999959</v>
      </c>
      <c r="C21" s="690" t="s">
        <v>457</v>
      </c>
      <c r="D21" s="676"/>
    </row>
    <row r="22" spans="1:4" x14ac:dyDescent="0.45">
      <c r="A22" s="691" t="s">
        <v>23</v>
      </c>
      <c r="B22" s="476">
        <v>1624129.7400000014</v>
      </c>
      <c r="C22" s="690" t="s">
        <v>457</v>
      </c>
      <c r="D22" s="676"/>
    </row>
    <row r="23" spans="1:4" x14ac:dyDescent="0.45">
      <c r="A23" s="691" t="s">
        <v>21</v>
      </c>
      <c r="B23" s="476">
        <v>-3003047.7300000042</v>
      </c>
      <c r="C23" s="690" t="s">
        <v>457</v>
      </c>
      <c r="D23" s="676"/>
    </row>
    <row r="24" spans="1:4" x14ac:dyDescent="0.45">
      <c r="A24" s="691" t="s">
        <v>185</v>
      </c>
      <c r="B24" s="476">
        <v>495635.95000000321</v>
      </c>
      <c r="C24" s="690" t="s">
        <v>457</v>
      </c>
      <c r="D24" s="676"/>
    </row>
    <row r="25" spans="1:4" x14ac:dyDescent="0.45">
      <c r="A25" s="691" t="s">
        <v>89</v>
      </c>
      <c r="B25" s="476">
        <v>-4655.5600000000559</v>
      </c>
      <c r="C25" s="690" t="s">
        <v>571</v>
      </c>
      <c r="D25" s="676" t="s">
        <v>572</v>
      </c>
    </row>
    <row r="26" spans="1:4" x14ac:dyDescent="0.45">
      <c r="A26" s="691" t="s">
        <v>308</v>
      </c>
      <c r="B26" s="476">
        <v>3575634.5599999977</v>
      </c>
      <c r="C26" s="690" t="s">
        <v>457</v>
      </c>
      <c r="D26" s="676"/>
    </row>
    <row r="27" spans="1:4" x14ac:dyDescent="0.45">
      <c r="A27" s="691" t="s">
        <v>85</v>
      </c>
      <c r="B27" s="476">
        <v>102635.99999999977</v>
      </c>
      <c r="C27" s="690" t="s">
        <v>458</v>
      </c>
      <c r="D27" s="676"/>
    </row>
    <row r="28" spans="1:4" x14ac:dyDescent="0.45">
      <c r="A28" s="691" t="s">
        <v>37</v>
      </c>
      <c r="B28" s="476">
        <v>2522576.0399999958</v>
      </c>
      <c r="C28" s="690" t="s">
        <v>457</v>
      </c>
      <c r="D28" s="677"/>
    </row>
    <row r="29" spans="1:4" x14ac:dyDescent="0.45">
      <c r="A29" s="691" t="s">
        <v>28</v>
      </c>
      <c r="B29" s="476">
        <v>-204256.97999999864</v>
      </c>
      <c r="C29" s="690" t="s">
        <v>457</v>
      </c>
      <c r="D29" s="676"/>
    </row>
    <row r="30" spans="1:4" x14ac:dyDescent="0.45">
      <c r="A30" s="691" t="s">
        <v>91</v>
      </c>
      <c r="B30" s="476">
        <v>-501.40999999968335</v>
      </c>
      <c r="C30" s="690" t="s">
        <v>571</v>
      </c>
      <c r="D30" s="676" t="s">
        <v>572</v>
      </c>
    </row>
    <row r="31" spans="1:4" x14ac:dyDescent="0.45">
      <c r="A31" s="691" t="s">
        <v>57</v>
      </c>
      <c r="B31" s="476">
        <v>1329486.9500000007</v>
      </c>
      <c r="C31" s="690" t="s">
        <v>457</v>
      </c>
      <c r="D31" s="676"/>
    </row>
    <row r="32" spans="1:4" x14ac:dyDescent="0.45">
      <c r="A32" s="691" t="s">
        <v>65</v>
      </c>
      <c r="B32" s="476">
        <v>-2.6193447411060333E-10</v>
      </c>
      <c r="C32" s="690" t="s">
        <v>457</v>
      </c>
      <c r="D32" s="676"/>
    </row>
    <row r="33" spans="1:4" x14ac:dyDescent="0.45">
      <c r="A33" s="691" t="s">
        <v>335</v>
      </c>
      <c r="B33" s="476">
        <v>-322719.35999999102</v>
      </c>
      <c r="C33" s="690" t="s">
        <v>457</v>
      </c>
      <c r="D33" s="676"/>
    </row>
    <row r="34" spans="1:4" x14ac:dyDescent="0.45">
      <c r="A34" s="691" t="s">
        <v>186</v>
      </c>
      <c r="B34" s="476">
        <v>458219.81000000099</v>
      </c>
      <c r="C34" s="690" t="s">
        <v>457</v>
      </c>
      <c r="D34" s="676"/>
    </row>
    <row r="35" spans="1:4" x14ac:dyDescent="0.45">
      <c r="A35" s="691" t="s">
        <v>39</v>
      </c>
      <c r="B35" s="476">
        <v>802268.46</v>
      </c>
      <c r="C35" s="690" t="s">
        <v>457</v>
      </c>
      <c r="D35" s="676"/>
    </row>
    <row r="36" spans="1:4" x14ac:dyDescent="0.45">
      <c r="A36" s="691" t="s">
        <v>73</v>
      </c>
      <c r="B36" s="476">
        <v>1369283.92</v>
      </c>
      <c r="C36" s="690" t="s">
        <v>458</v>
      </c>
      <c r="D36" s="677"/>
    </row>
    <row r="37" spans="1:4" x14ac:dyDescent="0.45">
      <c r="A37" s="691" t="s">
        <v>44</v>
      </c>
      <c r="B37" s="476">
        <v>16268.819999999418</v>
      </c>
      <c r="C37" s="690" t="s">
        <v>458</v>
      </c>
      <c r="D37" s="676"/>
    </row>
    <row r="38" spans="1:4" x14ac:dyDescent="0.45">
      <c r="A38" s="691" t="s">
        <v>42</v>
      </c>
      <c r="B38" s="476">
        <v>1153631.3500000015</v>
      </c>
      <c r="C38" s="690" t="s">
        <v>457</v>
      </c>
      <c r="D38" s="676"/>
    </row>
    <row r="39" spans="1:4" x14ac:dyDescent="0.45">
      <c r="A39" s="691" t="s">
        <v>63</v>
      </c>
      <c r="B39" s="476">
        <v>-4925.8499999995111</v>
      </c>
      <c r="C39" s="690" t="s">
        <v>571</v>
      </c>
      <c r="D39" s="676" t="s">
        <v>572</v>
      </c>
    </row>
    <row r="40" spans="1:4" x14ac:dyDescent="0.45">
      <c r="A40" s="691" t="s">
        <v>60</v>
      </c>
      <c r="B40" s="476">
        <v>642821.70900000155</v>
      </c>
      <c r="C40" s="690" t="s">
        <v>457</v>
      </c>
      <c r="D40" s="676"/>
    </row>
    <row r="41" spans="1:4" x14ac:dyDescent="0.45">
      <c r="A41" s="691" t="s">
        <v>71</v>
      </c>
      <c r="B41" s="476">
        <v>1202070.3599999994</v>
      </c>
      <c r="C41" s="690" t="s">
        <v>458</v>
      </c>
      <c r="D41" s="676"/>
    </row>
    <row r="42" spans="1:4" x14ac:dyDescent="0.45">
      <c r="A42" s="691" t="s">
        <v>88</v>
      </c>
      <c r="B42" s="476">
        <v>0</v>
      </c>
      <c r="C42" s="690" t="s">
        <v>458</v>
      </c>
      <c r="D42" s="676"/>
    </row>
    <row r="43" spans="1:4" x14ac:dyDescent="0.45">
      <c r="A43" s="691" t="s">
        <v>336</v>
      </c>
      <c r="B43" s="476">
        <v>9486.3600000003426</v>
      </c>
      <c r="C43" s="690" t="s">
        <v>457</v>
      </c>
      <c r="D43" s="676"/>
    </row>
    <row r="44" spans="1:4" x14ac:dyDescent="0.45">
      <c r="A44" s="691" t="s">
        <v>50</v>
      </c>
      <c r="B44" s="476">
        <v>1896207.0499999998</v>
      </c>
      <c r="C44" s="690" t="s">
        <v>458</v>
      </c>
      <c r="D44" s="676"/>
    </row>
    <row r="45" spans="1:4" x14ac:dyDescent="0.45">
      <c r="A45" s="691" t="s">
        <v>417</v>
      </c>
      <c r="B45" s="476">
        <v>-2858.9200000000928</v>
      </c>
      <c r="C45" s="690" t="s">
        <v>571</v>
      </c>
      <c r="D45" s="676" t="s">
        <v>572</v>
      </c>
    </row>
    <row r="46" spans="1:4" x14ac:dyDescent="0.45">
      <c r="A46" s="691" t="s">
        <v>46</v>
      </c>
      <c r="B46" s="476">
        <v>274770.45999999996</v>
      </c>
      <c r="C46" s="690" t="s">
        <v>457</v>
      </c>
      <c r="D46" s="676"/>
    </row>
    <row r="47" spans="1:4" x14ac:dyDescent="0.45">
      <c r="A47" s="691" t="s">
        <v>59</v>
      </c>
      <c r="B47" s="476">
        <v>45006.389999999978</v>
      </c>
      <c r="C47" s="690" t="s">
        <v>457</v>
      </c>
      <c r="D47" s="677"/>
    </row>
    <row r="48" spans="1:4" x14ac:dyDescent="0.45">
      <c r="A48" s="691" t="s">
        <v>500</v>
      </c>
      <c r="B48" s="476">
        <v>0</v>
      </c>
      <c r="C48" s="690" t="s">
        <v>457</v>
      </c>
      <c r="D48" s="676"/>
    </row>
    <row r="49" spans="1:4" x14ac:dyDescent="0.45">
      <c r="A49" s="691" t="s">
        <v>75</v>
      </c>
      <c r="B49" s="476">
        <v>3876185.7000000016</v>
      </c>
      <c r="C49" s="690" t="s">
        <v>458</v>
      </c>
      <c r="D49" s="676"/>
    </row>
    <row r="50" spans="1:4" x14ac:dyDescent="0.45">
      <c r="A50" s="691" t="s">
        <v>84</v>
      </c>
      <c r="B50" s="476">
        <v>-5959.0299999996205</v>
      </c>
      <c r="C50" s="690" t="s">
        <v>571</v>
      </c>
      <c r="D50" s="676" t="s">
        <v>572</v>
      </c>
    </row>
    <row r="51" spans="1:4" x14ac:dyDescent="0.45">
      <c r="A51" s="691" t="s">
        <v>68</v>
      </c>
      <c r="B51" s="476">
        <v>380953.73999999929</v>
      </c>
      <c r="C51" s="690" t="s">
        <v>457</v>
      </c>
      <c r="D51" s="676"/>
    </row>
    <row r="52" spans="1:4" x14ac:dyDescent="0.45">
      <c r="A52" s="691" t="s">
        <v>51</v>
      </c>
      <c r="B52" s="476">
        <v>4.6566128730773926E-10</v>
      </c>
      <c r="C52" s="690" t="s">
        <v>458</v>
      </c>
      <c r="D52" s="676"/>
    </row>
    <row r="53" spans="1:4" x14ac:dyDescent="0.45">
      <c r="A53" s="691" t="s">
        <v>366</v>
      </c>
      <c r="B53" s="476">
        <v>393639.60000000033</v>
      </c>
      <c r="C53" s="690" t="s">
        <v>457</v>
      </c>
      <c r="D53" s="677"/>
    </row>
    <row r="54" spans="1:4" x14ac:dyDescent="0.45">
      <c r="A54" s="691" t="s">
        <v>77</v>
      </c>
      <c r="B54" s="476">
        <v>-35689.800000000032</v>
      </c>
      <c r="C54" s="690" t="s">
        <v>571</v>
      </c>
      <c r="D54" s="676" t="s">
        <v>572</v>
      </c>
    </row>
    <row r="55" spans="1:4" x14ac:dyDescent="0.45">
      <c r="A55" s="691" t="s">
        <v>56</v>
      </c>
      <c r="B55" s="476">
        <v>437279.99999999953</v>
      </c>
      <c r="C55" s="690" t="s">
        <v>458</v>
      </c>
      <c r="D55" s="676"/>
    </row>
    <row r="56" spans="1:4" x14ac:dyDescent="0.45">
      <c r="A56" s="691" t="s">
        <v>66</v>
      </c>
      <c r="B56" s="476">
        <v>2209000.92</v>
      </c>
      <c r="C56" s="690" t="s">
        <v>458</v>
      </c>
      <c r="D56" s="676"/>
    </row>
    <row r="57" spans="1:4" x14ac:dyDescent="0.45">
      <c r="A57" s="691" t="s">
        <v>367</v>
      </c>
      <c r="B57" s="476">
        <v>-5.8207660913467407E-10</v>
      </c>
      <c r="C57" s="690" t="s">
        <v>457</v>
      </c>
      <c r="D57" s="676"/>
    </row>
    <row r="58" spans="1:4" x14ac:dyDescent="0.45">
      <c r="A58" s="691" t="s">
        <v>81</v>
      </c>
      <c r="B58" s="476">
        <v>44159.649999999965</v>
      </c>
      <c r="C58" s="690" t="s">
        <v>457</v>
      </c>
      <c r="D58" s="676"/>
    </row>
    <row r="59" spans="1:4" x14ac:dyDescent="0.45">
      <c r="A59" s="691" t="s">
        <v>48</v>
      </c>
      <c r="B59" s="476">
        <v>1128732.2199999995</v>
      </c>
      <c r="C59" s="690" t="s">
        <v>458</v>
      </c>
      <c r="D59" s="676"/>
    </row>
    <row r="60" spans="1:4" x14ac:dyDescent="0.45">
      <c r="A60" s="691" t="s">
        <v>368</v>
      </c>
      <c r="B60" s="476">
        <v>2.7939677238464355E-9</v>
      </c>
      <c r="C60" s="690" t="s">
        <v>457</v>
      </c>
      <c r="D60" s="676"/>
    </row>
    <row r="61" spans="1:4" x14ac:dyDescent="0.45">
      <c r="A61" s="691" t="s">
        <v>78</v>
      </c>
      <c r="B61" s="476">
        <v>-113497.31999998927</v>
      </c>
      <c r="C61" s="690" t="s">
        <v>571</v>
      </c>
      <c r="D61" s="676" t="s">
        <v>572</v>
      </c>
    </row>
    <row r="62" spans="1:4" x14ac:dyDescent="0.45">
      <c r="A62" s="691" t="s">
        <v>190</v>
      </c>
      <c r="B62" s="476">
        <v>-265954.98</v>
      </c>
      <c r="C62" s="690" t="s">
        <v>571</v>
      </c>
      <c r="D62" s="676" t="s">
        <v>572</v>
      </c>
    </row>
    <row r="63" spans="1:4" x14ac:dyDescent="0.45">
      <c r="A63" s="691" t="s">
        <v>52</v>
      </c>
      <c r="B63" s="476">
        <v>0</v>
      </c>
      <c r="C63" s="690" t="s">
        <v>458</v>
      </c>
      <c r="D63" s="677"/>
    </row>
    <row r="64" spans="1:4" x14ac:dyDescent="0.45">
      <c r="A64" s="691" t="s">
        <v>55</v>
      </c>
      <c r="B64" s="476">
        <v>-221089.2</v>
      </c>
      <c r="C64" s="690" t="s">
        <v>571</v>
      </c>
      <c r="D64" s="676" t="s">
        <v>572</v>
      </c>
    </row>
    <row r="65" spans="1:4" x14ac:dyDescent="0.45">
      <c r="A65" s="691" t="s">
        <v>45</v>
      </c>
      <c r="B65" s="476">
        <v>1583685.8683000002</v>
      </c>
      <c r="C65" s="690" t="s">
        <v>457</v>
      </c>
      <c r="D65" s="676"/>
    </row>
    <row r="66" spans="1:4" x14ac:dyDescent="0.45">
      <c r="A66" s="691" t="s">
        <v>191</v>
      </c>
      <c r="B66" s="476">
        <v>-29297.360000000015</v>
      </c>
      <c r="C66" s="690" t="s">
        <v>458</v>
      </c>
      <c r="D66" s="676"/>
    </row>
    <row r="67" spans="1:4" x14ac:dyDescent="0.45">
      <c r="A67" s="691" t="s">
        <v>309</v>
      </c>
      <c r="B67" s="476">
        <v>0</v>
      </c>
      <c r="C67" s="690" t="s">
        <v>457</v>
      </c>
      <c r="D67" s="676"/>
    </row>
    <row r="68" spans="1:4" x14ac:dyDescent="0.45">
      <c r="A68" s="691" t="s">
        <v>197</v>
      </c>
      <c r="B68" s="476">
        <v>-2.9103830456733704E-11</v>
      </c>
      <c r="C68" s="690" t="s">
        <v>458</v>
      </c>
      <c r="D68" s="676"/>
    </row>
    <row r="69" spans="1:4" x14ac:dyDescent="0.45">
      <c r="A69" s="691" t="s">
        <v>80</v>
      </c>
      <c r="B69" s="476">
        <v>-2184.6839999999829</v>
      </c>
      <c r="C69" s="690" t="s">
        <v>571</v>
      </c>
      <c r="D69" s="676" t="s">
        <v>572</v>
      </c>
    </row>
    <row r="70" spans="1:4" x14ac:dyDescent="0.45">
      <c r="A70" s="692" t="s">
        <v>76</v>
      </c>
      <c r="B70" s="476">
        <v>-6676.2799999998833</v>
      </c>
      <c r="C70" s="690" t="s">
        <v>571</v>
      </c>
      <c r="D70" s="676" t="s">
        <v>572</v>
      </c>
    </row>
    <row r="71" spans="1:4" x14ac:dyDescent="0.45">
      <c r="A71" s="693" t="s">
        <v>61</v>
      </c>
      <c r="B71" s="476">
        <v>938392.23999999976</v>
      </c>
      <c r="C71" s="690" t="s">
        <v>457</v>
      </c>
      <c r="D71" s="676"/>
    </row>
    <row r="72" spans="1:4" x14ac:dyDescent="0.45">
      <c r="A72" s="693" t="s">
        <v>70</v>
      </c>
      <c r="B72" s="476">
        <v>3458724.26</v>
      </c>
      <c r="C72" s="690" t="s">
        <v>458</v>
      </c>
      <c r="D72" s="676"/>
    </row>
    <row r="73" spans="1:4" x14ac:dyDescent="0.45">
      <c r="A73" s="694" t="s">
        <v>58</v>
      </c>
      <c r="B73" s="476">
        <v>-2.3283064365386963E-9</v>
      </c>
      <c r="C73" s="690" t="s">
        <v>457</v>
      </c>
      <c r="D73" s="676"/>
    </row>
    <row r="74" spans="1:4" x14ac:dyDescent="0.45">
      <c r="A74" s="693" t="s">
        <v>194</v>
      </c>
      <c r="B74" s="476">
        <v>-115236.29000000001</v>
      </c>
      <c r="C74" s="690" t="s">
        <v>571</v>
      </c>
      <c r="D74" s="681" t="s">
        <v>572</v>
      </c>
    </row>
    <row r="75" spans="1:4" x14ac:dyDescent="0.45">
      <c r="A75" s="693" t="s">
        <v>27</v>
      </c>
      <c r="B75" s="476">
        <v>632815.46999999869</v>
      </c>
      <c r="C75" s="690" t="s">
        <v>458</v>
      </c>
      <c r="D75" s="676"/>
    </row>
    <row r="76" spans="1:4" x14ac:dyDescent="0.45">
      <c r="A76" s="692" t="s">
        <v>340</v>
      </c>
      <c r="B76" s="476">
        <v>558224.85200000019</v>
      </c>
      <c r="C76" s="690" t="s">
        <v>457</v>
      </c>
      <c r="D76" s="676"/>
    </row>
    <row r="77" spans="1:4" x14ac:dyDescent="0.45">
      <c r="A77" s="692" t="s">
        <v>341</v>
      </c>
      <c r="B77" s="476">
        <v>7601072.8460000046</v>
      </c>
      <c r="C77" s="690" t="s">
        <v>457</v>
      </c>
      <c r="D77" s="676"/>
    </row>
    <row r="78" spans="1:4" x14ac:dyDescent="0.45">
      <c r="A78" s="693" t="s">
        <v>342</v>
      </c>
      <c r="B78" s="476">
        <v>1836.0499999999745</v>
      </c>
      <c r="C78" s="690" t="s">
        <v>458</v>
      </c>
      <c r="D78" s="676"/>
    </row>
    <row r="79" spans="1:4" x14ac:dyDescent="0.45">
      <c r="A79" s="692" t="s">
        <v>369</v>
      </c>
      <c r="B79" s="476">
        <v>834.78</v>
      </c>
      <c r="C79" s="690" t="s">
        <v>458</v>
      </c>
      <c r="D79" s="676"/>
    </row>
    <row r="80" spans="1:4" x14ac:dyDescent="0.45">
      <c r="A80" s="693" t="s">
        <v>370</v>
      </c>
      <c r="B80" s="476">
        <v>-2.0000000009604264</v>
      </c>
      <c r="C80" s="690" t="s">
        <v>457</v>
      </c>
      <c r="D80" s="676"/>
    </row>
    <row r="81" spans="1:4" x14ac:dyDescent="0.45">
      <c r="A81" s="693" t="s">
        <v>371</v>
      </c>
      <c r="B81" s="476">
        <v>-207956.99000000008</v>
      </c>
      <c r="C81" s="690" t="s">
        <v>571</v>
      </c>
      <c r="D81" s="676" t="s">
        <v>572</v>
      </c>
    </row>
    <row r="82" spans="1:4" x14ac:dyDescent="0.45">
      <c r="A82" s="693" t="s">
        <v>435</v>
      </c>
      <c r="B82" s="476">
        <v>-39944.120000000003</v>
      </c>
      <c r="C82" s="690" t="s">
        <v>571</v>
      </c>
      <c r="D82" s="676" t="s">
        <v>572</v>
      </c>
    </row>
    <row r="83" spans="1:4" x14ac:dyDescent="0.45">
      <c r="A83" s="693" t="s">
        <v>438</v>
      </c>
      <c r="B83" s="476">
        <v>-1120862.76</v>
      </c>
      <c r="C83" s="690" t="s">
        <v>571</v>
      </c>
      <c r="D83" s="681" t="s">
        <v>572</v>
      </c>
    </row>
    <row r="84" spans="1:4" x14ac:dyDescent="0.45">
      <c r="A84" s="693" t="s">
        <v>439</v>
      </c>
      <c r="B84" s="476">
        <v>-21803.759999999998</v>
      </c>
      <c r="C84" s="690" t="s">
        <v>571</v>
      </c>
      <c r="D84" s="676" t="s">
        <v>572</v>
      </c>
    </row>
    <row r="85" spans="1:4" x14ac:dyDescent="0.45">
      <c r="A85" s="693" t="s">
        <v>343</v>
      </c>
      <c r="B85" s="476">
        <v>-36.199999999837019</v>
      </c>
      <c r="C85" s="690" t="s">
        <v>571</v>
      </c>
      <c r="D85" s="676" t="s">
        <v>572</v>
      </c>
    </row>
    <row r="86" spans="1:4" x14ac:dyDescent="0.45">
      <c r="A86" s="693" t="s">
        <v>463</v>
      </c>
      <c r="B86" s="476">
        <v>0</v>
      </c>
      <c r="C86" s="690" t="s">
        <v>458</v>
      </c>
      <c r="D86" s="676"/>
    </row>
    <row r="87" spans="1:4" x14ac:dyDescent="0.45">
      <c r="A87" s="692" t="s">
        <v>501</v>
      </c>
      <c r="B87" s="476">
        <v>-9420.7399999919289</v>
      </c>
      <c r="C87" s="690" t="s">
        <v>457</v>
      </c>
      <c r="D87" s="676"/>
    </row>
    <row r="88" spans="1:4" x14ac:dyDescent="0.45">
      <c r="A88" s="693" t="s">
        <v>441</v>
      </c>
      <c r="B88" s="476">
        <v>-135954.03000000003</v>
      </c>
      <c r="C88" s="690" t="s">
        <v>571</v>
      </c>
      <c r="D88" s="676" t="s">
        <v>572</v>
      </c>
    </row>
    <row r="89" spans="1:4" x14ac:dyDescent="0.45">
      <c r="A89" s="693" t="s">
        <v>480</v>
      </c>
      <c r="B89" s="476">
        <v>2.1827872842550278E-11</v>
      </c>
      <c r="C89" s="690" t="s">
        <v>571</v>
      </c>
      <c r="D89" s="676" t="s">
        <v>572</v>
      </c>
    </row>
    <row r="90" spans="1:4" x14ac:dyDescent="0.45">
      <c r="A90" s="693" t="s">
        <v>481</v>
      </c>
      <c r="B90" s="476">
        <v>45856.080000000016</v>
      </c>
      <c r="C90" s="690" t="s">
        <v>457</v>
      </c>
      <c r="D90" s="676"/>
    </row>
    <row r="91" spans="1:4" x14ac:dyDescent="0.45">
      <c r="A91" s="693" t="s">
        <v>465</v>
      </c>
      <c r="B91" s="476">
        <v>30474.279999999984</v>
      </c>
      <c r="C91" s="690" t="s">
        <v>457</v>
      </c>
      <c r="D91" s="677"/>
    </row>
    <row r="92" spans="1:4" x14ac:dyDescent="0.45">
      <c r="A92" s="693" t="s">
        <v>482</v>
      </c>
      <c r="B92" s="476">
        <v>53098.809999999969</v>
      </c>
      <c r="C92" s="690" t="s">
        <v>457</v>
      </c>
      <c r="D92" s="676"/>
    </row>
    <row r="93" spans="1:4" x14ac:dyDescent="0.45">
      <c r="A93" s="693" t="s">
        <v>483</v>
      </c>
      <c r="B93" s="476">
        <v>234566.87999999998</v>
      </c>
      <c r="C93" s="690" t="s">
        <v>458</v>
      </c>
      <c r="D93" s="676"/>
    </row>
    <row r="94" spans="1:4" x14ac:dyDescent="0.45">
      <c r="A94" s="692" t="s">
        <v>466</v>
      </c>
      <c r="B94" s="476">
        <v>219001.40000000002</v>
      </c>
      <c r="C94" s="690" t="s">
        <v>458</v>
      </c>
      <c r="D94" s="676"/>
    </row>
    <row r="95" spans="1:4" x14ac:dyDescent="0.45">
      <c r="A95" s="693" t="s">
        <v>484</v>
      </c>
      <c r="B95" s="476">
        <v>-4.5474735088646412E-13</v>
      </c>
      <c r="C95" s="690" t="s">
        <v>457</v>
      </c>
      <c r="D95" s="676"/>
    </row>
    <row r="96" spans="1:4" x14ac:dyDescent="0.45">
      <c r="A96" s="693" t="s">
        <v>485</v>
      </c>
      <c r="B96" s="476">
        <v>213630.44999999987</v>
      </c>
      <c r="C96" s="690" t="s">
        <v>457</v>
      </c>
      <c r="D96" s="676"/>
    </row>
    <row r="97" spans="1:4" x14ac:dyDescent="0.45">
      <c r="A97" s="693" t="s">
        <v>486</v>
      </c>
      <c r="B97" s="476">
        <v>1.0913936421275139E-11</v>
      </c>
      <c r="C97" s="690" t="s">
        <v>458</v>
      </c>
      <c r="D97" s="676"/>
    </row>
    <row r="98" spans="1:4" x14ac:dyDescent="0.45">
      <c r="A98" s="693" t="s">
        <v>502</v>
      </c>
      <c r="B98" s="476">
        <v>8773.1399999999958</v>
      </c>
      <c r="C98" s="690" t="s">
        <v>457</v>
      </c>
      <c r="D98" s="677"/>
    </row>
    <row r="99" spans="1:4" x14ac:dyDescent="0.45">
      <c r="A99" s="693" t="s">
        <v>503</v>
      </c>
      <c r="B99" s="476">
        <v>73202.629999999976</v>
      </c>
      <c r="C99" s="690" t="s">
        <v>457</v>
      </c>
      <c r="D99" s="676"/>
    </row>
    <row r="100" spans="1:4" x14ac:dyDescent="0.45">
      <c r="A100" s="693" t="s">
        <v>504</v>
      </c>
      <c r="B100" s="476">
        <v>35527.93</v>
      </c>
      <c r="C100" s="690" t="s">
        <v>458</v>
      </c>
      <c r="D100" s="676"/>
    </row>
    <row r="101" spans="1:4" x14ac:dyDescent="0.45">
      <c r="A101" s="693" t="s">
        <v>505</v>
      </c>
      <c r="B101" s="476">
        <v>1288426.52</v>
      </c>
      <c r="C101" s="690" t="s">
        <v>458</v>
      </c>
      <c r="D101" s="676"/>
    </row>
    <row r="102" spans="1:4" x14ac:dyDescent="0.45">
      <c r="A102" s="693" t="s">
        <v>506</v>
      </c>
      <c r="B102" s="476">
        <v>45216.309999999823</v>
      </c>
      <c r="C102" s="690" t="s">
        <v>457</v>
      </c>
      <c r="D102" s="677"/>
    </row>
    <row r="103" spans="1:4" x14ac:dyDescent="0.45">
      <c r="A103" s="693" t="s">
        <v>507</v>
      </c>
      <c r="B103" s="476">
        <v>595869.88000000012</v>
      </c>
      <c r="C103" s="690" t="s">
        <v>457</v>
      </c>
      <c r="D103" s="676"/>
    </row>
    <row r="104" spans="1:4" x14ac:dyDescent="0.45">
      <c r="A104" s="693" t="s">
        <v>508</v>
      </c>
      <c r="B104" s="476">
        <v>731.7</v>
      </c>
      <c r="C104" s="690" t="s">
        <v>458</v>
      </c>
      <c r="D104" s="676"/>
    </row>
    <row r="105" spans="1:4" x14ac:dyDescent="0.45">
      <c r="A105" s="693" t="s">
        <v>509</v>
      </c>
      <c r="B105" s="476">
        <v>416348.50000000006</v>
      </c>
      <c r="C105" s="690" t="s">
        <v>458</v>
      </c>
      <c r="D105" s="676"/>
    </row>
    <row r="106" spans="1:4" x14ac:dyDescent="0.45">
      <c r="A106" s="693" t="s">
        <v>510</v>
      </c>
      <c r="B106" s="476">
        <v>-1.4551915228366852E-11</v>
      </c>
      <c r="C106" s="690" t="s">
        <v>457</v>
      </c>
      <c r="D106" s="676"/>
    </row>
    <row r="107" spans="1:4" x14ac:dyDescent="0.45">
      <c r="A107" s="694" t="s">
        <v>511</v>
      </c>
      <c r="B107" s="476">
        <v>267707.06</v>
      </c>
      <c r="C107" s="690" t="s">
        <v>458</v>
      </c>
      <c r="D107" s="676"/>
    </row>
    <row r="108" spans="1:4" x14ac:dyDescent="0.45">
      <c r="A108" s="694" t="s">
        <v>525</v>
      </c>
      <c r="B108" s="476">
        <v>3.637978807091713E-12</v>
      </c>
      <c r="C108" s="690" t="s">
        <v>457</v>
      </c>
      <c r="D108" s="676"/>
    </row>
    <row r="109" spans="1:4" x14ac:dyDescent="0.45">
      <c r="A109" s="694" t="s">
        <v>512</v>
      </c>
      <c r="B109" s="476">
        <v>244613.4800000001</v>
      </c>
      <c r="C109" s="684" t="s">
        <v>458</v>
      </c>
      <c r="D109" s="676"/>
    </row>
    <row r="110" spans="1:4" x14ac:dyDescent="0.45">
      <c r="A110" s="694" t="s">
        <v>526</v>
      </c>
      <c r="B110" s="476">
        <v>1108320.32</v>
      </c>
      <c r="C110" s="684" t="s">
        <v>457</v>
      </c>
      <c r="D110" s="676"/>
    </row>
    <row r="111" spans="1:4" ht="19" thickBot="1" x14ac:dyDescent="0.5">
      <c r="A111" s="694" t="s">
        <v>487</v>
      </c>
      <c r="B111" s="488">
        <v>17873.900000000001</v>
      </c>
      <c r="C111" s="684" t="s">
        <v>571</v>
      </c>
      <c r="D111" s="676" t="s">
        <v>572</v>
      </c>
    </row>
    <row r="112" spans="1:4" ht="19" thickBot="1" x14ac:dyDescent="0.5">
      <c r="A112" s="695" t="s">
        <v>6</v>
      </c>
      <c r="B112" s="497">
        <v>123210058.81590015</v>
      </c>
      <c r="C112" s="686"/>
      <c r="D112" s="677"/>
    </row>
    <row r="113" spans="1:4" x14ac:dyDescent="0.45">
      <c r="A113" s="696"/>
      <c r="B113" s="473"/>
      <c r="C113" s="697"/>
      <c r="D113" s="678"/>
    </row>
    <row r="114" spans="1:4" x14ac:dyDescent="0.45">
      <c r="A114" s="698" t="s">
        <v>317</v>
      </c>
      <c r="B114" s="696"/>
      <c r="C114" s="697"/>
      <c r="D114" s="678"/>
    </row>
    <row r="115" spans="1:4" x14ac:dyDescent="0.45">
      <c r="A115" s="698" t="s">
        <v>318</v>
      </c>
      <c r="B115" s="702"/>
      <c r="C115" s="697"/>
      <c r="D115" s="678"/>
    </row>
    <row r="116" spans="1:4" x14ac:dyDescent="0.45">
      <c r="B116" s="699"/>
      <c r="C116" s="697"/>
      <c r="D116" s="678"/>
    </row>
    <row r="117" spans="1:4" x14ac:dyDescent="0.45">
      <c r="B117" s="473"/>
      <c r="C117" s="697"/>
      <c r="D117" s="678"/>
    </row>
    <row r="118" spans="1:4" x14ac:dyDescent="0.45">
      <c r="B118" s="473"/>
      <c r="C118" s="700"/>
      <c r="D118" s="679"/>
    </row>
    <row r="119" spans="1:4" x14ac:dyDescent="0.45">
      <c r="B119" s="473"/>
      <c r="C119" s="697"/>
      <c r="D119" s="678"/>
    </row>
    <row r="120" spans="1:4" x14ac:dyDescent="0.45">
      <c r="B120" s="473"/>
      <c r="C120" s="697"/>
      <c r="D120" s="678"/>
    </row>
    <row r="121" spans="1:4" x14ac:dyDescent="0.45">
      <c r="C121" s="697"/>
      <c r="D121" s="678"/>
    </row>
    <row r="122" spans="1:4" x14ac:dyDescent="0.45">
      <c r="C122" s="697"/>
      <c r="D122" s="678"/>
    </row>
    <row r="123" spans="1:4" x14ac:dyDescent="0.45">
      <c r="C123" s="697"/>
      <c r="D123" s="678"/>
    </row>
    <row r="124" spans="1:4" x14ac:dyDescent="0.45">
      <c r="C124" s="697"/>
      <c r="D124" s="678"/>
    </row>
    <row r="125" spans="1:4" x14ac:dyDescent="0.45">
      <c r="C125" s="697"/>
      <c r="D125" s="678"/>
    </row>
    <row r="126" spans="1:4" x14ac:dyDescent="0.45">
      <c r="C126" s="697"/>
      <c r="D126" s="678"/>
    </row>
    <row r="127" spans="1:4" x14ac:dyDescent="0.45">
      <c r="C127" s="700"/>
      <c r="D127" s="679"/>
    </row>
    <row r="128" spans="1:4" x14ac:dyDescent="0.45">
      <c r="C128" s="697"/>
      <c r="D128" s="678"/>
    </row>
    <row r="129" spans="3:4" x14ac:dyDescent="0.45">
      <c r="C129" s="697"/>
      <c r="D129" s="678"/>
    </row>
    <row r="130" spans="3:4" x14ac:dyDescent="0.45">
      <c r="C130" s="697"/>
      <c r="D130" s="678"/>
    </row>
    <row r="131" spans="3:4" x14ac:dyDescent="0.45">
      <c r="C131" s="697"/>
      <c r="D131" s="678"/>
    </row>
    <row r="132" spans="3:4" x14ac:dyDescent="0.45">
      <c r="C132" s="697"/>
      <c r="D132" s="678"/>
    </row>
    <row r="133" spans="3:4" x14ac:dyDescent="0.45">
      <c r="C133" s="697"/>
      <c r="D133" s="678"/>
    </row>
    <row r="134" spans="3:4" x14ac:dyDescent="0.45">
      <c r="C134" s="697"/>
      <c r="D134" s="678"/>
    </row>
    <row r="135" spans="3:4" x14ac:dyDescent="0.45">
      <c r="C135" s="697"/>
      <c r="D135" s="678"/>
    </row>
    <row r="136" spans="3:4" x14ac:dyDescent="0.45">
      <c r="C136" s="697"/>
      <c r="D136" s="678"/>
    </row>
    <row r="137" spans="3:4" x14ac:dyDescent="0.45">
      <c r="C137" s="700"/>
      <c r="D137" s="679"/>
    </row>
    <row r="138" spans="3:4" x14ac:dyDescent="0.45">
      <c r="C138" s="697"/>
      <c r="D138" s="678"/>
    </row>
    <row r="139" spans="3:4" x14ac:dyDescent="0.45">
      <c r="C139" s="697"/>
      <c r="D139" s="678"/>
    </row>
    <row r="140" spans="3:4" x14ac:dyDescent="0.45">
      <c r="C140" s="697"/>
      <c r="D140" s="678"/>
    </row>
    <row r="141" spans="3:4" x14ac:dyDescent="0.45">
      <c r="C141" s="697"/>
      <c r="D141" s="678"/>
    </row>
    <row r="142" spans="3:4" x14ac:dyDescent="0.45">
      <c r="C142" s="697"/>
      <c r="D142" s="678"/>
    </row>
    <row r="143" spans="3:4" x14ac:dyDescent="0.45">
      <c r="C143" s="697"/>
      <c r="D143" s="678"/>
    </row>
    <row r="144" spans="3:4" x14ac:dyDescent="0.45">
      <c r="C144" s="700"/>
      <c r="D144" s="679"/>
    </row>
    <row r="145" spans="3:4" x14ac:dyDescent="0.45">
      <c r="C145" s="697"/>
      <c r="D145" s="678"/>
    </row>
    <row r="146" spans="3:4" x14ac:dyDescent="0.45">
      <c r="C146" s="697"/>
      <c r="D146" s="678"/>
    </row>
    <row r="147" spans="3:4" x14ac:dyDescent="0.45">
      <c r="C147" s="697"/>
      <c r="D147" s="678"/>
    </row>
    <row r="148" spans="3:4" x14ac:dyDescent="0.45">
      <c r="C148" s="700"/>
      <c r="D148" s="679"/>
    </row>
    <row r="149" spans="3:4" x14ac:dyDescent="0.45">
      <c r="C149" s="697"/>
      <c r="D149" s="678"/>
    </row>
    <row r="150" spans="3:4" x14ac:dyDescent="0.45">
      <c r="C150" s="697"/>
      <c r="D150" s="678"/>
    </row>
    <row r="151" spans="3:4" x14ac:dyDescent="0.45">
      <c r="C151" s="697"/>
      <c r="D151" s="678"/>
    </row>
    <row r="152" spans="3:4" x14ac:dyDescent="0.45">
      <c r="C152" s="697"/>
      <c r="D152" s="678"/>
    </row>
    <row r="153" spans="3:4" x14ac:dyDescent="0.45">
      <c r="C153" s="700"/>
      <c r="D153" s="679"/>
    </row>
    <row r="154" spans="3:4" x14ac:dyDescent="0.45">
      <c r="C154" s="697"/>
      <c r="D154" s="678"/>
    </row>
    <row r="155" spans="3:4" x14ac:dyDescent="0.45">
      <c r="C155" s="697"/>
      <c r="D155" s="678"/>
    </row>
    <row r="156" spans="3:4" x14ac:dyDescent="0.45">
      <c r="C156" s="697"/>
      <c r="D156" s="678"/>
    </row>
    <row r="157" spans="3:4" x14ac:dyDescent="0.45">
      <c r="C157" s="697"/>
      <c r="D157" s="678"/>
    </row>
    <row r="158" spans="3:4" x14ac:dyDescent="0.45">
      <c r="C158" s="697"/>
      <c r="D158" s="678"/>
    </row>
    <row r="159" spans="3:4" x14ac:dyDescent="0.45">
      <c r="C159" s="700"/>
      <c r="D159" s="679"/>
    </row>
    <row r="160" spans="3:4" x14ac:dyDescent="0.45">
      <c r="C160" s="697"/>
      <c r="D160" s="678"/>
    </row>
    <row r="161" spans="3:4" x14ac:dyDescent="0.45">
      <c r="C161" s="697"/>
      <c r="D161" s="678"/>
    </row>
    <row r="162" spans="3:4" x14ac:dyDescent="0.45">
      <c r="C162" s="700"/>
      <c r="D162" s="679"/>
    </row>
    <row r="163" spans="3:4" x14ac:dyDescent="0.45">
      <c r="C163" s="697"/>
      <c r="D163" s="678"/>
    </row>
    <row r="164" spans="3:4" x14ac:dyDescent="0.45">
      <c r="C164" s="697"/>
      <c r="D164" s="678"/>
    </row>
    <row r="165" spans="3:4" x14ac:dyDescent="0.45">
      <c r="C165" s="697"/>
      <c r="D165" s="678"/>
    </row>
    <row r="166" spans="3:4" x14ac:dyDescent="0.45">
      <c r="C166" s="697"/>
      <c r="D166" s="678"/>
    </row>
    <row r="167" spans="3:4" x14ac:dyDescent="0.45">
      <c r="C167" s="697"/>
      <c r="D167" s="678"/>
    </row>
    <row r="168" spans="3:4" x14ac:dyDescent="0.45">
      <c r="C168" s="697"/>
      <c r="D168" s="678"/>
    </row>
    <row r="169" spans="3:4" x14ac:dyDescent="0.45">
      <c r="C169" s="697"/>
      <c r="D169" s="678"/>
    </row>
    <row r="170" spans="3:4" x14ac:dyDescent="0.45">
      <c r="C170" s="700"/>
      <c r="D170" s="679"/>
    </row>
    <row r="171" spans="3:4" x14ac:dyDescent="0.45">
      <c r="C171" s="697"/>
      <c r="D171" s="678"/>
    </row>
    <row r="172" spans="3:4" x14ac:dyDescent="0.45">
      <c r="C172" s="697"/>
      <c r="D172" s="678"/>
    </row>
    <row r="173" spans="3:4" x14ac:dyDescent="0.45">
      <c r="C173" s="700"/>
      <c r="D173" s="679"/>
    </row>
    <row r="174" spans="3:4" x14ac:dyDescent="0.45">
      <c r="C174" s="697"/>
      <c r="D174" s="678"/>
    </row>
    <row r="175" spans="3:4" x14ac:dyDescent="0.45">
      <c r="C175" s="697"/>
      <c r="D175" s="678"/>
    </row>
    <row r="176" spans="3:4" x14ac:dyDescent="0.45">
      <c r="C176" s="697"/>
      <c r="D176" s="678"/>
    </row>
    <row r="177" spans="3:4" x14ac:dyDescent="0.45">
      <c r="C177" s="697"/>
      <c r="D177" s="678"/>
    </row>
    <row r="178" spans="3:4" x14ac:dyDescent="0.45">
      <c r="C178" s="697"/>
      <c r="D178" s="678"/>
    </row>
    <row r="179" spans="3:4" x14ac:dyDescent="0.45">
      <c r="C179" s="700"/>
      <c r="D179" s="679"/>
    </row>
    <row r="180" spans="3:4" x14ac:dyDescent="0.45">
      <c r="C180" s="697"/>
      <c r="D180" s="678"/>
    </row>
    <row r="181" spans="3:4" x14ac:dyDescent="0.45">
      <c r="C181" s="697"/>
      <c r="D181" s="678"/>
    </row>
    <row r="182" spans="3:4" x14ac:dyDescent="0.45">
      <c r="C182" s="697"/>
      <c r="D182" s="678"/>
    </row>
    <row r="183" spans="3:4" x14ac:dyDescent="0.45">
      <c r="C183" s="697"/>
      <c r="D183" s="678"/>
    </row>
    <row r="184" spans="3:4" x14ac:dyDescent="0.45">
      <c r="C184" s="697"/>
      <c r="D184" s="678"/>
    </row>
    <row r="185" spans="3:4" x14ac:dyDescent="0.45">
      <c r="C185" s="697"/>
      <c r="D185" s="678"/>
    </row>
    <row r="186" spans="3:4" x14ac:dyDescent="0.45">
      <c r="C186" s="697"/>
      <c r="D186" s="678"/>
    </row>
    <row r="187" spans="3:4" x14ac:dyDescent="0.45">
      <c r="C187" s="700"/>
      <c r="D187" s="679"/>
    </row>
    <row r="188" spans="3:4" x14ac:dyDescent="0.45">
      <c r="C188" s="697"/>
      <c r="D188" s="678"/>
    </row>
    <row r="189" spans="3:4" x14ac:dyDescent="0.45">
      <c r="C189" s="697"/>
      <c r="D189" s="678"/>
    </row>
    <row r="190" spans="3:4" x14ac:dyDescent="0.45">
      <c r="C190" s="697"/>
      <c r="D190" s="678"/>
    </row>
    <row r="191" spans="3:4" x14ac:dyDescent="0.45">
      <c r="C191" s="697"/>
      <c r="D191" s="678"/>
    </row>
    <row r="192" spans="3:4" x14ac:dyDescent="0.45">
      <c r="C192" s="697"/>
      <c r="D192" s="678"/>
    </row>
    <row r="193" spans="3:4" x14ac:dyDescent="0.45">
      <c r="C193" s="697"/>
      <c r="D193" s="678"/>
    </row>
    <row r="194" spans="3:4" x14ac:dyDescent="0.45">
      <c r="C194" s="700"/>
      <c r="D194" s="679"/>
    </row>
    <row r="195" spans="3:4" x14ac:dyDescent="0.45">
      <c r="C195" s="697"/>
      <c r="D195" s="678"/>
    </row>
    <row r="196" spans="3:4" x14ac:dyDescent="0.45">
      <c r="C196" s="697"/>
      <c r="D196" s="678"/>
    </row>
    <row r="197" spans="3:4" x14ac:dyDescent="0.45">
      <c r="C197" s="697"/>
      <c r="D197" s="678"/>
    </row>
    <row r="198" spans="3:4" x14ac:dyDescent="0.45">
      <c r="C198" s="697"/>
      <c r="D198" s="678"/>
    </row>
    <row r="199" spans="3:4" x14ac:dyDescent="0.45">
      <c r="C199" s="700"/>
      <c r="D199" s="679"/>
    </row>
    <row r="200" spans="3:4" x14ac:dyDescent="0.45">
      <c r="C200" s="697"/>
      <c r="D200" s="678"/>
    </row>
    <row r="201" spans="3:4" x14ac:dyDescent="0.45">
      <c r="C201" s="697"/>
      <c r="D201" s="678"/>
    </row>
    <row r="202" spans="3:4" x14ac:dyDescent="0.45">
      <c r="C202" s="697"/>
      <c r="D202" s="678"/>
    </row>
    <row r="203" spans="3:4" x14ac:dyDescent="0.45">
      <c r="C203" s="697"/>
      <c r="D203" s="678"/>
    </row>
    <row r="204" spans="3:4" x14ac:dyDescent="0.45">
      <c r="C204" s="697"/>
      <c r="D204" s="678"/>
    </row>
    <row r="205" spans="3:4" x14ac:dyDescent="0.45">
      <c r="C205" s="697"/>
      <c r="D205" s="678"/>
    </row>
    <row r="206" spans="3:4" x14ac:dyDescent="0.45">
      <c r="C206" s="700"/>
      <c r="D206" s="679"/>
    </row>
    <row r="207" spans="3:4" x14ac:dyDescent="0.45">
      <c r="C207" s="697"/>
      <c r="D207" s="678"/>
    </row>
    <row r="208" spans="3:4" x14ac:dyDescent="0.45">
      <c r="C208" s="697"/>
      <c r="D208" s="678"/>
    </row>
    <row r="209" spans="3:4" x14ac:dyDescent="0.45">
      <c r="C209" s="697"/>
      <c r="D209" s="678"/>
    </row>
    <row r="210" spans="3:4" x14ac:dyDescent="0.45">
      <c r="C210" s="697"/>
      <c r="D210" s="678"/>
    </row>
    <row r="211" spans="3:4" x14ac:dyDescent="0.45">
      <c r="C211" s="697"/>
      <c r="D211" s="678"/>
    </row>
    <row r="212" spans="3:4" x14ac:dyDescent="0.45">
      <c r="C212" s="697"/>
      <c r="D212" s="678"/>
    </row>
    <row r="213" spans="3:4" x14ac:dyDescent="0.45">
      <c r="C213" s="700"/>
      <c r="D213" s="679"/>
    </row>
    <row r="214" spans="3:4" x14ac:dyDescent="0.45">
      <c r="C214" s="697"/>
      <c r="D214" s="678"/>
    </row>
    <row r="215" spans="3:4" x14ac:dyDescent="0.45">
      <c r="C215" s="697"/>
      <c r="D215" s="678"/>
    </row>
    <row r="216" spans="3:4" x14ac:dyDescent="0.45">
      <c r="C216" s="697"/>
      <c r="D216" s="678"/>
    </row>
    <row r="217" spans="3:4" x14ac:dyDescent="0.45">
      <c r="C217" s="697"/>
      <c r="D217" s="678"/>
    </row>
    <row r="218" spans="3:4" x14ac:dyDescent="0.45">
      <c r="C218" s="697"/>
      <c r="D218" s="678"/>
    </row>
    <row r="219" spans="3:4" x14ac:dyDescent="0.45">
      <c r="C219" s="697"/>
      <c r="D219" s="678"/>
    </row>
    <row r="220" spans="3:4" x14ac:dyDescent="0.45">
      <c r="C220" s="700"/>
      <c r="D220" s="679"/>
    </row>
    <row r="221" spans="3:4" x14ac:dyDescent="0.45">
      <c r="C221" s="697"/>
      <c r="D221" s="678"/>
    </row>
    <row r="222" spans="3:4" x14ac:dyDescent="0.45">
      <c r="C222" s="697"/>
      <c r="D222" s="678"/>
    </row>
    <row r="223" spans="3:4" x14ac:dyDescent="0.45">
      <c r="C223" s="697"/>
      <c r="D223" s="678"/>
    </row>
    <row r="224" spans="3:4" x14ac:dyDescent="0.45">
      <c r="C224" s="697"/>
      <c r="D224" s="678"/>
    </row>
    <row r="225" spans="3:4" x14ac:dyDescent="0.45">
      <c r="C225" s="697"/>
      <c r="D225" s="678"/>
    </row>
    <row r="226" spans="3:4" x14ac:dyDescent="0.45">
      <c r="C226" s="700"/>
      <c r="D226" s="679"/>
    </row>
    <row r="227" spans="3:4" x14ac:dyDescent="0.45">
      <c r="C227" s="697"/>
      <c r="D227" s="678"/>
    </row>
    <row r="228" spans="3:4" x14ac:dyDescent="0.45">
      <c r="C228" s="697"/>
      <c r="D228" s="678"/>
    </row>
    <row r="229" spans="3:4" x14ac:dyDescent="0.45">
      <c r="C229" s="697"/>
      <c r="D229" s="678"/>
    </row>
    <row r="230" spans="3:4" x14ac:dyDescent="0.45">
      <c r="C230" s="697"/>
      <c r="D230" s="678"/>
    </row>
    <row r="231" spans="3:4" x14ac:dyDescent="0.45">
      <c r="C231" s="697"/>
      <c r="D231" s="678"/>
    </row>
    <row r="232" spans="3:4" x14ac:dyDescent="0.45">
      <c r="C232" s="697"/>
      <c r="D232" s="678"/>
    </row>
    <row r="233" spans="3:4" x14ac:dyDescent="0.45">
      <c r="C233" s="700"/>
      <c r="D233" s="679"/>
    </row>
    <row r="234" spans="3:4" x14ac:dyDescent="0.45">
      <c r="C234" s="697"/>
      <c r="D234" s="678"/>
    </row>
    <row r="235" spans="3:4" x14ac:dyDescent="0.45">
      <c r="C235" s="697"/>
      <c r="D235" s="678"/>
    </row>
    <row r="236" spans="3:4" x14ac:dyDescent="0.45">
      <c r="C236" s="697"/>
      <c r="D236" s="678"/>
    </row>
    <row r="237" spans="3:4" x14ac:dyDescent="0.45">
      <c r="C237" s="697"/>
      <c r="D237" s="678"/>
    </row>
    <row r="238" spans="3:4" x14ac:dyDescent="0.45">
      <c r="C238" s="697"/>
      <c r="D238" s="678"/>
    </row>
    <row r="239" spans="3:4" x14ac:dyDescent="0.45">
      <c r="C239" s="697"/>
      <c r="D239" s="678"/>
    </row>
    <row r="240" spans="3:4" x14ac:dyDescent="0.45">
      <c r="C240" s="697"/>
      <c r="D240" s="678"/>
    </row>
    <row r="241" spans="1:4" x14ac:dyDescent="0.45">
      <c r="C241" s="697"/>
      <c r="D241" s="678"/>
    </row>
    <row r="242" spans="1:4" x14ac:dyDescent="0.45">
      <c r="C242" s="697"/>
      <c r="D242" s="678"/>
    </row>
    <row r="243" spans="1:4" x14ac:dyDescent="0.45">
      <c r="C243" s="700"/>
      <c r="D243" s="679"/>
    </row>
    <row r="244" spans="1:4" x14ac:dyDescent="0.45">
      <c r="C244" s="697"/>
      <c r="D244" s="678"/>
    </row>
    <row r="245" spans="1:4" x14ac:dyDescent="0.45">
      <c r="C245" s="697"/>
      <c r="D245" s="678"/>
    </row>
    <row r="246" spans="1:4" x14ac:dyDescent="0.45">
      <c r="C246" s="697"/>
      <c r="D246" s="678"/>
    </row>
    <row r="247" spans="1:4" x14ac:dyDescent="0.45">
      <c r="C247" s="697"/>
      <c r="D247" s="678"/>
    </row>
    <row r="248" spans="1:4" x14ac:dyDescent="0.45">
      <c r="C248" s="697"/>
      <c r="D248" s="678"/>
    </row>
    <row r="249" spans="1:4" x14ac:dyDescent="0.45">
      <c r="C249" s="697"/>
      <c r="D249" s="678"/>
    </row>
    <row r="250" spans="1:4" x14ac:dyDescent="0.45">
      <c r="C250" s="697"/>
      <c r="D250" s="678"/>
    </row>
    <row r="251" spans="1:4" s="1" customFormat="1" x14ac:dyDescent="0.45">
      <c r="A251" s="688"/>
      <c r="B251" s="460"/>
      <c r="C251" s="700"/>
      <c r="D251" s="679"/>
    </row>
    <row r="252" spans="1:4" x14ac:dyDescent="0.45">
      <c r="C252" s="697"/>
      <c r="D252" s="678"/>
    </row>
    <row r="253" spans="1:4" x14ac:dyDescent="0.45">
      <c r="C253" s="697"/>
      <c r="D253" s="678"/>
    </row>
    <row r="254" spans="1:4" x14ac:dyDescent="0.45">
      <c r="C254" s="700"/>
      <c r="D254" s="679"/>
    </row>
    <row r="255" spans="1:4" x14ac:dyDescent="0.45">
      <c r="C255" s="697"/>
      <c r="D255" s="678"/>
    </row>
    <row r="256" spans="1:4" x14ac:dyDescent="0.45">
      <c r="C256" s="697"/>
      <c r="D256" s="678"/>
    </row>
    <row r="257" spans="3:4" x14ac:dyDescent="0.45">
      <c r="C257" s="700"/>
      <c r="D257" s="679"/>
    </row>
    <row r="258" spans="3:4" x14ac:dyDescent="0.45">
      <c r="C258" s="700"/>
      <c r="D258" s="679"/>
    </row>
    <row r="259" spans="3:4" x14ac:dyDescent="0.45">
      <c r="C259" s="700"/>
      <c r="D259" s="679"/>
    </row>
    <row r="260" spans="3:4" x14ac:dyDescent="0.45">
      <c r="C260" s="700"/>
      <c r="D260" s="679"/>
    </row>
    <row r="261" spans="3:4" x14ac:dyDescent="0.45">
      <c r="C261" s="700"/>
      <c r="D261" s="679"/>
    </row>
    <row r="262" spans="3:4" x14ac:dyDescent="0.45">
      <c r="C262" s="697"/>
      <c r="D262" s="678"/>
    </row>
    <row r="263" spans="3:4" x14ac:dyDescent="0.45">
      <c r="C263" s="697"/>
      <c r="D263" s="678"/>
    </row>
    <row r="264" spans="3:4" x14ac:dyDescent="0.45">
      <c r="C264" s="697"/>
      <c r="D264" s="678"/>
    </row>
    <row r="265" spans="3:4" x14ac:dyDescent="0.45">
      <c r="C265" s="697"/>
      <c r="D265" s="678"/>
    </row>
    <row r="266" spans="3:4" x14ac:dyDescent="0.45">
      <c r="C266" s="697"/>
      <c r="D266" s="678"/>
    </row>
    <row r="267" spans="3:4" x14ac:dyDescent="0.45">
      <c r="C267" s="697"/>
      <c r="D267" s="678"/>
    </row>
    <row r="268" spans="3:4" x14ac:dyDescent="0.45">
      <c r="C268" s="697"/>
      <c r="D268" s="678"/>
    </row>
    <row r="269" spans="3:4" x14ac:dyDescent="0.45">
      <c r="C269" s="697"/>
      <c r="D269" s="678"/>
    </row>
    <row r="270" spans="3:4" x14ac:dyDescent="0.45">
      <c r="C270" s="700"/>
      <c r="D270" s="679"/>
    </row>
    <row r="271" spans="3:4" x14ac:dyDescent="0.45">
      <c r="C271" s="697"/>
      <c r="D271" s="678"/>
    </row>
    <row r="272" spans="3:4" x14ac:dyDescent="0.45">
      <c r="C272" s="697"/>
      <c r="D272" s="678"/>
    </row>
    <row r="273" spans="3:4" x14ac:dyDescent="0.45">
      <c r="C273" s="697"/>
      <c r="D273" s="678"/>
    </row>
    <row r="274" spans="3:4" x14ac:dyDescent="0.45">
      <c r="C274" s="697"/>
      <c r="D274" s="678"/>
    </row>
    <row r="275" spans="3:4" x14ac:dyDescent="0.45">
      <c r="C275" s="697"/>
      <c r="D275" s="678"/>
    </row>
    <row r="276" spans="3:4" x14ac:dyDescent="0.45">
      <c r="C276" s="697"/>
      <c r="D276" s="678"/>
    </row>
    <row r="277" spans="3:4" x14ac:dyDescent="0.45">
      <c r="C277" s="700"/>
      <c r="D277" s="679"/>
    </row>
    <row r="278" spans="3:4" x14ac:dyDescent="0.45">
      <c r="C278" s="697"/>
      <c r="D278" s="678"/>
    </row>
    <row r="279" spans="3:4" x14ac:dyDescent="0.45">
      <c r="C279" s="697"/>
      <c r="D279" s="678"/>
    </row>
    <row r="280" spans="3:4" x14ac:dyDescent="0.45">
      <c r="C280" s="697"/>
      <c r="D280" s="678"/>
    </row>
    <row r="281" spans="3:4" x14ac:dyDescent="0.45">
      <c r="C281" s="697"/>
      <c r="D281" s="678"/>
    </row>
    <row r="282" spans="3:4" x14ac:dyDescent="0.45">
      <c r="C282" s="697"/>
      <c r="D282" s="678"/>
    </row>
    <row r="283" spans="3:4" x14ac:dyDescent="0.45">
      <c r="C283" s="700"/>
      <c r="D283" s="679"/>
    </row>
    <row r="284" spans="3:4" x14ac:dyDescent="0.45">
      <c r="C284" s="697"/>
      <c r="D284" s="678"/>
    </row>
    <row r="285" spans="3:4" x14ac:dyDescent="0.45">
      <c r="C285" s="697"/>
      <c r="D285" s="678"/>
    </row>
    <row r="286" spans="3:4" x14ac:dyDescent="0.45">
      <c r="C286" s="697"/>
      <c r="D286" s="678"/>
    </row>
    <row r="287" spans="3:4" x14ac:dyDescent="0.45">
      <c r="C287" s="697"/>
      <c r="D287" s="678"/>
    </row>
    <row r="288" spans="3:4" x14ac:dyDescent="0.45">
      <c r="C288" s="697"/>
      <c r="D288" s="678"/>
    </row>
    <row r="289" spans="3:4" x14ac:dyDescent="0.45">
      <c r="C289" s="700"/>
      <c r="D289" s="679"/>
    </row>
    <row r="290" spans="3:4" x14ac:dyDescent="0.45">
      <c r="C290" s="697"/>
      <c r="D290" s="678"/>
    </row>
    <row r="291" spans="3:4" x14ac:dyDescent="0.45">
      <c r="C291" s="697"/>
      <c r="D291" s="678"/>
    </row>
    <row r="292" spans="3:4" x14ac:dyDescent="0.45">
      <c r="C292" s="697"/>
      <c r="D292" s="678"/>
    </row>
    <row r="293" spans="3:4" x14ac:dyDescent="0.45">
      <c r="C293" s="697"/>
      <c r="D293" s="678"/>
    </row>
    <row r="294" spans="3:4" x14ac:dyDescent="0.45">
      <c r="C294" s="697"/>
      <c r="D294" s="678"/>
    </row>
    <row r="295" spans="3:4" x14ac:dyDescent="0.45">
      <c r="C295" s="700"/>
      <c r="D295" s="679"/>
    </row>
    <row r="296" spans="3:4" x14ac:dyDescent="0.45">
      <c r="C296" s="697"/>
      <c r="D296" s="678"/>
    </row>
    <row r="297" spans="3:4" x14ac:dyDescent="0.45">
      <c r="C297" s="697"/>
      <c r="D297" s="678"/>
    </row>
    <row r="298" spans="3:4" x14ac:dyDescent="0.45">
      <c r="C298" s="697"/>
      <c r="D298" s="678"/>
    </row>
    <row r="299" spans="3:4" x14ac:dyDescent="0.45">
      <c r="C299" s="697"/>
      <c r="D299" s="678"/>
    </row>
    <row r="300" spans="3:4" x14ac:dyDescent="0.45">
      <c r="C300" s="697"/>
      <c r="D300" s="678"/>
    </row>
    <row r="301" spans="3:4" x14ac:dyDescent="0.45">
      <c r="C301" s="697"/>
      <c r="D301" s="678"/>
    </row>
    <row r="302" spans="3:4" x14ac:dyDescent="0.45">
      <c r="C302" s="697"/>
      <c r="D302" s="678"/>
    </row>
    <row r="303" spans="3:4" x14ac:dyDescent="0.45">
      <c r="C303" s="697"/>
      <c r="D303" s="678"/>
    </row>
    <row r="304" spans="3:4" x14ac:dyDescent="0.45">
      <c r="C304" s="697"/>
      <c r="D304" s="678"/>
    </row>
    <row r="305" spans="3:4" x14ac:dyDescent="0.45">
      <c r="C305" s="697"/>
      <c r="D305" s="678"/>
    </row>
    <row r="306" spans="3:4" x14ac:dyDescent="0.45">
      <c r="C306" s="700"/>
      <c r="D306" s="679"/>
    </row>
    <row r="307" spans="3:4" x14ac:dyDescent="0.45">
      <c r="C307" s="697"/>
      <c r="D307" s="678"/>
    </row>
    <row r="308" spans="3:4" x14ac:dyDescent="0.45">
      <c r="C308" s="697"/>
      <c r="D308" s="678"/>
    </row>
    <row r="309" spans="3:4" x14ac:dyDescent="0.45">
      <c r="C309" s="697"/>
      <c r="D309" s="678"/>
    </row>
    <row r="310" spans="3:4" x14ac:dyDescent="0.45">
      <c r="C310" s="697"/>
      <c r="D310" s="678"/>
    </row>
    <row r="311" spans="3:4" x14ac:dyDescent="0.45">
      <c r="C311" s="697"/>
      <c r="D311" s="678"/>
    </row>
    <row r="312" spans="3:4" x14ac:dyDescent="0.45">
      <c r="C312" s="697"/>
      <c r="D312" s="678"/>
    </row>
    <row r="313" spans="3:4" x14ac:dyDescent="0.45">
      <c r="C313" s="700"/>
      <c r="D313" s="679"/>
    </row>
    <row r="314" spans="3:4" x14ac:dyDescent="0.45">
      <c r="C314" s="697"/>
      <c r="D314" s="678"/>
    </row>
    <row r="315" spans="3:4" x14ac:dyDescent="0.45">
      <c r="C315" s="697"/>
      <c r="D315" s="678"/>
    </row>
    <row r="316" spans="3:4" x14ac:dyDescent="0.45">
      <c r="C316" s="697"/>
      <c r="D316" s="678"/>
    </row>
    <row r="317" spans="3:4" x14ac:dyDescent="0.45">
      <c r="C317" s="697"/>
      <c r="D317" s="678"/>
    </row>
    <row r="318" spans="3:4" x14ac:dyDescent="0.45">
      <c r="C318" s="697"/>
      <c r="D318" s="678"/>
    </row>
    <row r="319" spans="3:4" x14ac:dyDescent="0.45">
      <c r="C319" s="700"/>
      <c r="D319" s="679"/>
    </row>
    <row r="320" spans="3:4" x14ac:dyDescent="0.45">
      <c r="C320" s="697"/>
      <c r="D320" s="678"/>
    </row>
    <row r="321" spans="3:4" x14ac:dyDescent="0.45">
      <c r="C321" s="697"/>
      <c r="D321" s="678"/>
    </row>
    <row r="322" spans="3:4" x14ac:dyDescent="0.45">
      <c r="C322" s="700"/>
      <c r="D322" s="679"/>
    </row>
    <row r="323" spans="3:4" x14ac:dyDescent="0.45">
      <c r="C323" s="697"/>
      <c r="D323" s="678"/>
    </row>
    <row r="324" spans="3:4" x14ac:dyDescent="0.45">
      <c r="C324" s="697"/>
      <c r="D324" s="678"/>
    </row>
    <row r="325" spans="3:4" x14ac:dyDescent="0.45">
      <c r="C325" s="697"/>
      <c r="D325" s="678"/>
    </row>
    <row r="326" spans="3:4" x14ac:dyDescent="0.45">
      <c r="C326" s="697"/>
      <c r="D326" s="678"/>
    </row>
    <row r="327" spans="3:4" x14ac:dyDescent="0.45">
      <c r="C327" s="697"/>
      <c r="D327" s="678"/>
    </row>
    <row r="328" spans="3:4" x14ac:dyDescent="0.45">
      <c r="C328" s="697"/>
      <c r="D328" s="678"/>
    </row>
    <row r="329" spans="3:4" x14ac:dyDescent="0.45">
      <c r="C329" s="700"/>
      <c r="D329" s="679"/>
    </row>
    <row r="330" spans="3:4" x14ac:dyDescent="0.45">
      <c r="C330" s="697"/>
      <c r="D330" s="678"/>
    </row>
    <row r="331" spans="3:4" x14ac:dyDescent="0.45">
      <c r="C331" s="697"/>
      <c r="D331" s="678"/>
    </row>
    <row r="332" spans="3:4" x14ac:dyDescent="0.45">
      <c r="C332" s="700"/>
      <c r="D332" s="679"/>
    </row>
    <row r="333" spans="3:4" x14ac:dyDescent="0.45">
      <c r="C333" s="697"/>
      <c r="D333" s="678"/>
    </row>
    <row r="334" spans="3:4" x14ac:dyDescent="0.45">
      <c r="C334" s="697"/>
      <c r="D334" s="678"/>
    </row>
    <row r="335" spans="3:4" x14ac:dyDescent="0.45">
      <c r="C335" s="697"/>
      <c r="D335" s="678"/>
    </row>
    <row r="336" spans="3:4" x14ac:dyDescent="0.45">
      <c r="C336" s="697"/>
      <c r="D336" s="678"/>
    </row>
    <row r="337" spans="3:4" x14ac:dyDescent="0.45">
      <c r="C337" s="697"/>
      <c r="D337" s="678"/>
    </row>
    <row r="338" spans="3:4" x14ac:dyDescent="0.45">
      <c r="C338" s="697"/>
      <c r="D338" s="678"/>
    </row>
    <row r="339" spans="3:4" x14ac:dyDescent="0.45">
      <c r="C339" s="697"/>
      <c r="D339" s="678"/>
    </row>
    <row r="340" spans="3:4" x14ac:dyDescent="0.45">
      <c r="C340" s="700"/>
      <c r="D340" s="679"/>
    </row>
    <row r="341" spans="3:4" x14ac:dyDescent="0.45">
      <c r="C341" s="697"/>
      <c r="D341" s="678"/>
    </row>
    <row r="342" spans="3:4" x14ac:dyDescent="0.45">
      <c r="C342" s="697"/>
      <c r="D342" s="678"/>
    </row>
    <row r="343" spans="3:4" x14ac:dyDescent="0.45">
      <c r="C343" s="700"/>
      <c r="D343" s="679"/>
    </row>
    <row r="344" spans="3:4" x14ac:dyDescent="0.45">
      <c r="C344" s="697"/>
      <c r="D344" s="678"/>
    </row>
    <row r="345" spans="3:4" x14ac:dyDescent="0.45">
      <c r="C345" s="697"/>
      <c r="D345" s="678"/>
    </row>
    <row r="346" spans="3:4" x14ac:dyDescent="0.45">
      <c r="C346" s="700"/>
      <c r="D346" s="679"/>
    </row>
    <row r="347" spans="3:4" x14ac:dyDescent="0.45">
      <c r="C347" s="697"/>
      <c r="D347" s="678"/>
    </row>
    <row r="348" spans="3:4" x14ac:dyDescent="0.45">
      <c r="C348" s="697"/>
      <c r="D348" s="678"/>
    </row>
    <row r="349" spans="3:4" x14ac:dyDescent="0.45">
      <c r="C349" s="697"/>
      <c r="D349" s="678"/>
    </row>
    <row r="350" spans="3:4" x14ac:dyDescent="0.45">
      <c r="C350" s="697"/>
      <c r="D350" s="678"/>
    </row>
    <row r="351" spans="3:4" x14ac:dyDescent="0.45">
      <c r="C351" s="700"/>
      <c r="D351" s="679"/>
    </row>
    <row r="352" spans="3:4" x14ac:dyDescent="0.45">
      <c r="C352" s="697"/>
      <c r="D352" s="678"/>
    </row>
    <row r="353" spans="3:4" x14ac:dyDescent="0.45">
      <c r="C353" s="697"/>
      <c r="D353" s="678"/>
    </row>
    <row r="354" spans="3:4" x14ac:dyDescent="0.45">
      <c r="C354" s="697"/>
      <c r="D354" s="678"/>
    </row>
    <row r="355" spans="3:4" x14ac:dyDescent="0.45">
      <c r="C355" s="697"/>
      <c r="D355" s="678"/>
    </row>
    <row r="356" spans="3:4" x14ac:dyDescent="0.45">
      <c r="C356" s="700"/>
      <c r="D356" s="679"/>
    </row>
    <row r="357" spans="3:4" x14ac:dyDescent="0.45">
      <c r="C357" s="697"/>
      <c r="D357" s="678"/>
    </row>
    <row r="358" spans="3:4" x14ac:dyDescent="0.45">
      <c r="C358" s="697"/>
      <c r="D358" s="678"/>
    </row>
    <row r="359" spans="3:4" x14ac:dyDescent="0.45">
      <c r="C359" s="697"/>
      <c r="D359" s="678"/>
    </row>
    <row r="360" spans="3:4" x14ac:dyDescent="0.45">
      <c r="C360" s="700"/>
      <c r="D360" s="679"/>
    </row>
    <row r="361" spans="3:4" x14ac:dyDescent="0.45">
      <c r="C361" s="697"/>
      <c r="D361" s="678"/>
    </row>
    <row r="362" spans="3:4" x14ac:dyDescent="0.45">
      <c r="C362" s="697"/>
      <c r="D362" s="678"/>
    </row>
    <row r="363" spans="3:4" x14ac:dyDescent="0.45">
      <c r="C363" s="697"/>
      <c r="D363" s="678"/>
    </row>
    <row r="364" spans="3:4" x14ac:dyDescent="0.45">
      <c r="C364" s="697"/>
      <c r="D364" s="678"/>
    </row>
    <row r="365" spans="3:4" x14ac:dyDescent="0.45">
      <c r="C365" s="697"/>
      <c r="D365" s="678"/>
    </row>
    <row r="366" spans="3:4" x14ac:dyDescent="0.45">
      <c r="C366" s="697"/>
      <c r="D366" s="678"/>
    </row>
    <row r="367" spans="3:4" x14ac:dyDescent="0.45">
      <c r="C367" s="697"/>
      <c r="D367" s="678"/>
    </row>
    <row r="368" spans="3:4" x14ac:dyDescent="0.45">
      <c r="C368" s="700"/>
      <c r="D368" s="679"/>
    </row>
    <row r="369" spans="3:4" x14ac:dyDescent="0.45">
      <c r="C369" s="697"/>
      <c r="D369" s="678"/>
    </row>
    <row r="370" spans="3:4" x14ac:dyDescent="0.45">
      <c r="C370" s="697"/>
      <c r="D370" s="678"/>
    </row>
    <row r="371" spans="3:4" x14ac:dyDescent="0.45">
      <c r="C371" s="697"/>
      <c r="D371" s="678"/>
    </row>
    <row r="372" spans="3:4" x14ac:dyDescent="0.45">
      <c r="C372" s="697"/>
      <c r="D372" s="678"/>
    </row>
    <row r="373" spans="3:4" x14ac:dyDescent="0.45">
      <c r="C373" s="697"/>
      <c r="D373" s="678"/>
    </row>
    <row r="374" spans="3:4" x14ac:dyDescent="0.45">
      <c r="C374" s="697"/>
      <c r="D374" s="678"/>
    </row>
    <row r="375" spans="3:4" x14ac:dyDescent="0.45">
      <c r="C375" s="700"/>
      <c r="D375" s="679"/>
    </row>
    <row r="376" spans="3:4" x14ac:dyDescent="0.45">
      <c r="C376" s="697"/>
      <c r="D376" s="678"/>
    </row>
    <row r="377" spans="3:4" x14ac:dyDescent="0.45">
      <c r="C377" s="697"/>
      <c r="D377" s="678"/>
    </row>
    <row r="378" spans="3:4" x14ac:dyDescent="0.45">
      <c r="C378" s="697"/>
      <c r="D378" s="678"/>
    </row>
    <row r="379" spans="3:4" x14ac:dyDescent="0.45">
      <c r="C379" s="697"/>
      <c r="D379" s="678"/>
    </row>
    <row r="380" spans="3:4" x14ac:dyDescent="0.45">
      <c r="C380" s="697"/>
      <c r="D380" s="678"/>
    </row>
    <row r="381" spans="3:4" x14ac:dyDescent="0.45">
      <c r="C381" s="700"/>
      <c r="D381" s="679"/>
    </row>
    <row r="382" spans="3:4" x14ac:dyDescent="0.45">
      <c r="C382" s="697"/>
      <c r="D382" s="678"/>
    </row>
    <row r="383" spans="3:4" x14ac:dyDescent="0.45">
      <c r="C383" s="697"/>
      <c r="D383" s="678"/>
    </row>
    <row r="384" spans="3:4" x14ac:dyDescent="0.45">
      <c r="C384" s="700"/>
      <c r="D384" s="679"/>
    </row>
    <row r="385" spans="3:4" x14ac:dyDescent="0.45">
      <c r="C385" s="697"/>
      <c r="D385" s="678"/>
    </row>
    <row r="386" spans="3:4" x14ac:dyDescent="0.45">
      <c r="C386" s="697"/>
      <c r="D386" s="678"/>
    </row>
    <row r="387" spans="3:4" x14ac:dyDescent="0.45">
      <c r="C387" s="697"/>
      <c r="D387" s="678"/>
    </row>
    <row r="388" spans="3:4" x14ac:dyDescent="0.45">
      <c r="C388" s="697"/>
      <c r="D388" s="678"/>
    </row>
    <row r="389" spans="3:4" x14ac:dyDescent="0.45">
      <c r="C389" s="697"/>
      <c r="D389" s="678"/>
    </row>
    <row r="390" spans="3:4" x14ac:dyDescent="0.45">
      <c r="C390" s="697"/>
      <c r="D390" s="678"/>
    </row>
    <row r="391" spans="3:4" x14ac:dyDescent="0.45">
      <c r="C391" s="697"/>
      <c r="D391" s="678"/>
    </row>
    <row r="392" spans="3:4" x14ac:dyDescent="0.45">
      <c r="C392" s="700"/>
      <c r="D392" s="679"/>
    </row>
    <row r="393" spans="3:4" x14ac:dyDescent="0.45">
      <c r="C393" s="697"/>
      <c r="D393" s="678"/>
    </row>
    <row r="394" spans="3:4" x14ac:dyDescent="0.45">
      <c r="C394" s="697"/>
      <c r="D394" s="678"/>
    </row>
    <row r="395" spans="3:4" x14ac:dyDescent="0.45">
      <c r="C395" s="697"/>
      <c r="D395" s="678"/>
    </row>
    <row r="396" spans="3:4" x14ac:dyDescent="0.45">
      <c r="C396" s="697"/>
      <c r="D396" s="678"/>
    </row>
    <row r="397" spans="3:4" x14ac:dyDescent="0.45">
      <c r="C397" s="697"/>
      <c r="D397" s="678"/>
    </row>
    <row r="398" spans="3:4" x14ac:dyDescent="0.45">
      <c r="C398" s="700"/>
      <c r="D398" s="679"/>
    </row>
    <row r="399" spans="3:4" x14ac:dyDescent="0.45">
      <c r="C399" s="700"/>
      <c r="D399" s="679"/>
    </row>
    <row r="400" spans="3:4" x14ac:dyDescent="0.45">
      <c r="C400" s="701"/>
      <c r="D400" s="680"/>
    </row>
    <row r="401" spans="3:4" x14ac:dyDescent="0.45">
      <c r="C401" s="701"/>
      <c r="D401" s="680"/>
    </row>
  </sheetData>
  <mergeCells count="1">
    <mergeCell ref="A1:A4"/>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121"/>
  <sheetViews>
    <sheetView topLeftCell="AA1" workbookViewId="0">
      <selection activeCell="AI13" sqref="AI13"/>
    </sheetView>
  </sheetViews>
  <sheetFormatPr defaultRowHeight="18.5" x14ac:dyDescent="0.45"/>
  <cols>
    <col min="1" max="1" width="78.08984375" style="551" customWidth="1"/>
    <col min="2" max="3" width="21.90625" style="551" customWidth="1"/>
    <col min="4" max="6" width="21.90625" style="763" customWidth="1"/>
    <col min="7" max="7" width="21.36328125" style="764" customWidth="1"/>
    <col min="8" max="9" width="21.90625" style="763" customWidth="1"/>
    <col min="10" max="10" width="24.6328125" style="763" customWidth="1"/>
    <col min="11" max="11" width="25" style="763" customWidth="1"/>
    <col min="12" max="12" width="23.6328125" style="763" customWidth="1"/>
    <col min="13" max="13" width="21.54296875" style="763" customWidth="1"/>
    <col min="14" max="14" width="21.36328125" style="763" customWidth="1"/>
    <col min="15" max="15" width="21.90625" style="763" customWidth="1"/>
    <col min="16" max="16" width="21.6328125" style="764" customWidth="1"/>
    <col min="17" max="17" width="21.90625" style="551" customWidth="1"/>
    <col min="18" max="23" width="21.90625" style="764" customWidth="1"/>
    <col min="24" max="24" width="22.36328125" style="764" customWidth="1"/>
    <col min="25" max="25" width="21.90625" style="764" customWidth="1"/>
    <col min="26" max="26" width="23.81640625" style="764" customWidth="1"/>
    <col min="27" max="27" width="19.08984375" style="764" customWidth="1"/>
    <col min="28" max="28" width="24.6328125" style="763" customWidth="1"/>
    <col min="29" max="29" width="25.54296875" style="460" customWidth="1"/>
    <col min="30" max="30" width="26.453125" style="460" customWidth="1"/>
    <col min="31" max="31" width="0.36328125" style="460" customWidth="1"/>
    <col min="32" max="32" width="28.54296875" style="460" customWidth="1"/>
    <col min="33" max="33" width="25.36328125" style="461" customWidth="1"/>
    <col min="34" max="34" width="23" style="460" customWidth="1"/>
    <col min="35" max="35" width="12.6328125" bestFit="1" customWidth="1"/>
  </cols>
  <sheetData>
    <row r="1" spans="1:35" x14ac:dyDescent="0.45">
      <c r="A1" s="1038" t="s">
        <v>0</v>
      </c>
      <c r="B1" s="762"/>
      <c r="AI1" s="682"/>
    </row>
    <row r="2" spans="1:35" ht="19" thickBot="1" x14ac:dyDescent="0.5">
      <c r="A2" s="1039"/>
      <c r="C2" s="762"/>
      <c r="AC2" s="776"/>
      <c r="AD2" s="571"/>
      <c r="AE2" s="571"/>
      <c r="AI2" s="682"/>
    </row>
    <row r="3" spans="1:35" ht="69" customHeight="1" thickBot="1" x14ac:dyDescent="0.4">
      <c r="A3" s="765">
        <v>44651</v>
      </c>
      <c r="B3" s="766" t="s">
        <v>293</v>
      </c>
      <c r="C3" s="766"/>
      <c r="D3" s="766" t="s">
        <v>3</v>
      </c>
      <c r="E3" s="766" t="s">
        <v>5</v>
      </c>
      <c r="F3" s="766" t="s">
        <v>3</v>
      </c>
      <c r="G3" s="767" t="s">
        <v>5</v>
      </c>
      <c r="H3" s="766" t="s">
        <v>3</v>
      </c>
      <c r="I3" s="766" t="s">
        <v>5</v>
      </c>
      <c r="J3" s="766" t="s">
        <v>3</v>
      </c>
      <c r="K3" s="766" t="s">
        <v>5</v>
      </c>
      <c r="L3" s="766" t="s">
        <v>3</v>
      </c>
      <c r="M3" s="766" t="s">
        <v>5</v>
      </c>
      <c r="N3" s="766" t="s">
        <v>3</v>
      </c>
      <c r="O3" s="766" t="s">
        <v>5</v>
      </c>
      <c r="P3" s="767" t="s">
        <v>3</v>
      </c>
      <c r="Q3" s="766" t="s">
        <v>5</v>
      </c>
      <c r="R3" s="767" t="s">
        <v>181</v>
      </c>
      <c r="S3" s="767" t="s">
        <v>5</v>
      </c>
      <c r="T3" s="767" t="s">
        <v>181</v>
      </c>
      <c r="U3" s="767" t="s">
        <v>5</v>
      </c>
      <c r="V3" s="767" t="s">
        <v>181</v>
      </c>
      <c r="W3" s="767" t="s">
        <v>5</v>
      </c>
      <c r="X3" s="767" t="s">
        <v>181</v>
      </c>
      <c r="Y3" s="767" t="s">
        <v>5</v>
      </c>
      <c r="Z3" s="767" t="s">
        <v>181</v>
      </c>
      <c r="AA3" s="767" t="s">
        <v>5</v>
      </c>
      <c r="AB3" s="768" t="s">
        <v>6</v>
      </c>
      <c r="AC3" s="890"/>
      <c r="AD3" s="464" t="s">
        <v>293</v>
      </c>
      <c r="AE3" s="543" t="s">
        <v>443</v>
      </c>
      <c r="AF3" s="518" t="s">
        <v>318</v>
      </c>
      <c r="AG3" s="595" t="s">
        <v>376</v>
      </c>
      <c r="AH3" s="518" t="s">
        <v>360</v>
      </c>
      <c r="AI3" s="682"/>
    </row>
    <row r="4" spans="1:35" ht="37.5" thickBot="1" x14ac:dyDescent="0.5">
      <c r="A4" s="769"/>
      <c r="B4" s="770" t="s">
        <v>213</v>
      </c>
      <c r="C4" s="770" t="s">
        <v>443</v>
      </c>
      <c r="D4" s="770" t="s">
        <v>573</v>
      </c>
      <c r="E4" s="771" t="s">
        <v>573</v>
      </c>
      <c r="F4" s="771" t="s">
        <v>574</v>
      </c>
      <c r="G4" s="772" t="s">
        <v>574</v>
      </c>
      <c r="H4" s="771" t="s">
        <v>575</v>
      </c>
      <c r="I4" s="771" t="s">
        <v>575</v>
      </c>
      <c r="J4" s="773" t="s">
        <v>576</v>
      </c>
      <c r="K4" s="773" t="s">
        <v>576</v>
      </c>
      <c r="L4" s="773" t="s">
        <v>577</v>
      </c>
      <c r="M4" s="773" t="s">
        <v>577</v>
      </c>
      <c r="N4" s="773" t="s">
        <v>578</v>
      </c>
      <c r="O4" s="773" t="s">
        <v>578</v>
      </c>
      <c r="P4" s="774" t="s">
        <v>579</v>
      </c>
      <c r="Q4" s="773" t="s">
        <v>579</v>
      </c>
      <c r="R4" s="774" t="s">
        <v>580</v>
      </c>
      <c r="S4" s="774" t="s">
        <v>580</v>
      </c>
      <c r="T4" s="774" t="s">
        <v>581</v>
      </c>
      <c r="U4" s="774" t="s">
        <v>581</v>
      </c>
      <c r="V4" s="774" t="s">
        <v>582</v>
      </c>
      <c r="W4" s="774" t="s">
        <v>582</v>
      </c>
      <c r="X4" s="774" t="s">
        <v>583</v>
      </c>
      <c r="Y4" s="774" t="s">
        <v>583</v>
      </c>
      <c r="Z4" s="774" t="s">
        <v>584</v>
      </c>
      <c r="AA4" s="774" t="s">
        <v>584</v>
      </c>
      <c r="AB4" s="775"/>
      <c r="AC4" s="707"/>
      <c r="AD4" s="544" t="s">
        <v>213</v>
      </c>
      <c r="AE4" s="544"/>
      <c r="AF4" s="471"/>
      <c r="AG4" s="536"/>
      <c r="AH4" s="576"/>
      <c r="AI4" s="682"/>
    </row>
    <row r="5" spans="1:35" x14ac:dyDescent="0.45">
      <c r="O5" s="776"/>
      <c r="Q5" s="777"/>
      <c r="AB5" s="776"/>
      <c r="AC5" s="703"/>
      <c r="AD5" s="473"/>
      <c r="AE5" s="473"/>
      <c r="AF5" s="473"/>
      <c r="AG5" s="501"/>
      <c r="AH5" s="473"/>
      <c r="AI5" s="682"/>
    </row>
    <row r="6" spans="1:35" s="538" customFormat="1" x14ac:dyDescent="0.45">
      <c r="A6" s="778" t="s">
        <v>25</v>
      </c>
      <c r="B6" s="779">
        <v>35777642.380000003</v>
      </c>
      <c r="C6" s="780"/>
      <c r="D6" s="779">
        <v>9933789.3300000001</v>
      </c>
      <c r="E6" s="779">
        <v>6580664.4100000001</v>
      </c>
      <c r="F6" s="779">
        <f>4445670.18</f>
        <v>4445670.18</v>
      </c>
      <c r="G6" s="781">
        <v>6717948.3099999996</v>
      </c>
      <c r="H6" s="779">
        <f>6648497.96</f>
        <v>6648497.96</v>
      </c>
      <c r="I6" s="779">
        <v>7168460.0700000003</v>
      </c>
      <c r="J6" s="779">
        <f>6580664.41+6717948.31</f>
        <v>13298612.719999999</v>
      </c>
      <c r="K6" s="779">
        <v>5690393.9100000001</v>
      </c>
      <c r="L6" s="779">
        <v>7168460.0700000003</v>
      </c>
      <c r="M6" s="779">
        <v>6695183.0099999998</v>
      </c>
      <c r="N6" s="779">
        <f>5690393.91</f>
        <v>5690393.9100000001</v>
      </c>
      <c r="O6" s="782">
        <v>7180860.7799999993</v>
      </c>
      <c r="P6" s="781">
        <v>6695183.0099999998</v>
      </c>
      <c r="Q6" s="781">
        <v>7025974.4199999999</v>
      </c>
      <c r="R6" s="781">
        <v>8693925.9199999999</v>
      </c>
      <c r="S6" s="781">
        <v>7687075.04</v>
      </c>
      <c r="T6" s="781">
        <v>7180860.7800000003</v>
      </c>
      <c r="U6" s="781">
        <v>9743571.8900000006</v>
      </c>
      <c r="V6" s="781">
        <v>7025974.4199999999</v>
      </c>
      <c r="W6" s="781">
        <v>5931229.3599999994</v>
      </c>
      <c r="X6" s="781">
        <v>7687075.04</v>
      </c>
      <c r="Y6" s="781">
        <v>8104957.3100000005</v>
      </c>
      <c r="Z6" s="781"/>
      <c r="AA6" s="781">
        <v>8295840.8600000003</v>
      </c>
      <c r="AB6" s="782">
        <f>B6-C6-D6+E6-F6+G6-H6+I6-J6+K6-L6+M6-N6+O6-P6+Q6-R6+S6-T6+U6-V6+W6-X6+Y6-Z6+AA6</f>
        <v>38131358.410000004</v>
      </c>
      <c r="AC6" s="704"/>
      <c r="AD6" s="476">
        <f t="shared" ref="AD6:AD37" si="0">B6</f>
        <v>35777642.380000003</v>
      </c>
      <c r="AE6" s="476"/>
      <c r="AF6" s="476">
        <f t="shared" ref="AF6:AF37" si="1">E6+G6+I6+K6+M6+O6+Q6+S6+U6+W6+Y6+AA6</f>
        <v>86822159.370000005</v>
      </c>
      <c r="AG6" s="537">
        <f>D6+F6+H6+J6+L6+N6+P6+R6+T6+V6+X6+Z6</f>
        <v>84468443.340000004</v>
      </c>
      <c r="AH6" s="474">
        <f>AD6-AE6+AF6-AG6</f>
        <v>38131358.409999996</v>
      </c>
    </row>
    <row r="7" spans="1:35" s="538" customFormat="1" x14ac:dyDescent="0.45">
      <c r="A7" s="778" t="s">
        <v>24</v>
      </c>
      <c r="B7" s="779">
        <v>-372415.88599999656</v>
      </c>
      <c r="C7" s="780"/>
      <c r="D7" s="779">
        <f>43120.06+45238.81</f>
        <v>88358.87</v>
      </c>
      <c r="E7" s="783">
        <v>928309.11</v>
      </c>
      <c r="F7" s="779">
        <f>246359.96+125936.58+372800.65+17856+161160.63+26457.79+229699.81+341023.1</f>
        <v>1521294.52</v>
      </c>
      <c r="G7" s="781">
        <v>922534.74</v>
      </c>
      <c r="H7" s="779">
        <f>311075.11+33016.89+233247.8</f>
        <v>577339.80000000005</v>
      </c>
      <c r="I7" s="779">
        <v>933820.49</v>
      </c>
      <c r="J7" s="779">
        <f>17856+167752.7+185280.35+203106.08+17856+310575.2</f>
        <v>902426.33000000007</v>
      </c>
      <c r="K7" s="783">
        <v>788589.07000000007</v>
      </c>
      <c r="L7" s="779">
        <v>838063.37000000011</v>
      </c>
      <c r="M7" s="779">
        <v>820412.12000000011</v>
      </c>
      <c r="N7" s="779">
        <v>792480.64000000013</v>
      </c>
      <c r="O7" s="782">
        <v>827986.96</v>
      </c>
      <c r="P7" s="781">
        <v>1139033.8700000001</v>
      </c>
      <c r="Q7" s="781">
        <v>815070.96</v>
      </c>
      <c r="R7" s="781">
        <f>134993.7+182310.5+9152.7+127632+342175.74</f>
        <v>796264.64</v>
      </c>
      <c r="S7" s="781">
        <v>820411.62</v>
      </c>
      <c r="T7" s="781">
        <f>128257.4+16944.95+18188.62+135882.5</f>
        <v>299273.46999999997</v>
      </c>
      <c r="U7" s="781">
        <v>840941.85</v>
      </c>
      <c r="V7" s="781">
        <f>316289.53+142907.2+13106.81+194905.7</f>
        <v>667209.24</v>
      </c>
      <c r="W7" s="781">
        <v>746112.96999999986</v>
      </c>
      <c r="X7" s="781">
        <f>287475.74+330859.2</f>
        <v>618334.93999999994</v>
      </c>
      <c r="Y7" s="781">
        <v>488225.22</v>
      </c>
      <c r="Z7" s="781">
        <v>925295.26</v>
      </c>
      <c r="AA7" s="781">
        <v>-490966.04</v>
      </c>
      <c r="AB7" s="782">
        <f t="shared" ref="AB7:AB70" si="2">B7-C7-D7+E7-F7+G7-H7+I7-J7+K7-L7+M7-N7+O7-P7+Q7-R7+S7-T7+U7-V7+W7-X7+Y7-Z7+AA7</f>
        <v>-1096341.765999997</v>
      </c>
      <c r="AC7" s="704"/>
      <c r="AD7" s="476">
        <f t="shared" si="0"/>
        <v>-372415.88599999656</v>
      </c>
      <c r="AE7" s="476"/>
      <c r="AF7" s="476">
        <f t="shared" si="1"/>
        <v>8441449.0700000022</v>
      </c>
      <c r="AG7" s="537">
        <f t="shared" ref="AG7:AG70" si="3">D7+F7+H7+J7+L7+N7+P7+R7+T7+V7+X7+Z7</f>
        <v>9165374.9500000011</v>
      </c>
      <c r="AH7" s="474">
        <f t="shared" ref="AH7:AH70" si="4">AD7-AE7+AF7-AG7</f>
        <v>-1096341.7659999952</v>
      </c>
    </row>
    <row r="8" spans="1:35" s="538" customFormat="1" x14ac:dyDescent="0.45">
      <c r="A8" s="778" t="s">
        <v>361</v>
      </c>
      <c r="B8" s="779">
        <v>41098067.966600068</v>
      </c>
      <c r="C8" s="780"/>
      <c r="D8" s="779"/>
      <c r="E8" s="779">
        <v>15899605.73</v>
      </c>
      <c r="F8" s="779">
        <f>39922822.26</f>
        <v>39922822.259999998</v>
      </c>
      <c r="G8" s="781">
        <v>17356745</v>
      </c>
      <c r="H8" s="779">
        <f>15532505.17</f>
        <v>15532505.17</v>
      </c>
      <c r="I8" s="779">
        <v>18349050.379999999</v>
      </c>
      <c r="J8" s="779">
        <f>17356745</f>
        <v>17356745</v>
      </c>
      <c r="K8" s="779">
        <v>18234062.07</v>
      </c>
      <c r="L8" s="781">
        <v>18349050.379999999</v>
      </c>
      <c r="M8" s="779">
        <v>17736799.07</v>
      </c>
      <c r="N8" s="779"/>
      <c r="O8" s="782">
        <v>18307106.66</v>
      </c>
      <c r="P8" s="781">
        <f>14516884.98+3717177.09+13934642.86</f>
        <v>32168704.93</v>
      </c>
      <c r="Q8" s="781">
        <v>18068164.629999999</v>
      </c>
      <c r="R8" s="781">
        <v>22109262.870000001</v>
      </c>
      <c r="S8" s="781">
        <v>18844433.989999998</v>
      </c>
      <c r="T8" s="781">
        <f>14078918.87+3989245.76</f>
        <v>18068164.629999999</v>
      </c>
      <c r="U8" s="781">
        <v>18056977.059999999</v>
      </c>
      <c r="V8" s="781"/>
      <c r="W8" s="781">
        <v>18101444.240000002</v>
      </c>
      <c r="X8" s="781"/>
      <c r="Y8" s="781">
        <v>18596165.990000002</v>
      </c>
      <c r="Z8" s="781">
        <v>55002855.289999999</v>
      </c>
      <c r="AA8" s="781">
        <v>19806245.23</v>
      </c>
      <c r="AB8" s="782">
        <f t="shared" si="2"/>
        <v>39944757.486600071</v>
      </c>
      <c r="AC8" s="704"/>
      <c r="AD8" s="476">
        <f t="shared" si="0"/>
        <v>41098067.966600068</v>
      </c>
      <c r="AE8" s="476"/>
      <c r="AF8" s="476">
        <f t="shared" si="1"/>
        <v>217356800.05000001</v>
      </c>
      <c r="AG8" s="537">
        <f t="shared" si="3"/>
        <v>218510110.53</v>
      </c>
      <c r="AH8" s="474">
        <f t="shared" si="4"/>
        <v>39944757.486600071</v>
      </c>
    </row>
    <row r="9" spans="1:35" s="538" customFormat="1" x14ac:dyDescent="0.45">
      <c r="A9" s="778" t="s">
        <v>362</v>
      </c>
      <c r="B9" s="779">
        <v>1975082.5399999986</v>
      </c>
      <c r="C9" s="780"/>
      <c r="D9" s="779"/>
      <c r="E9" s="779">
        <v>1479671.9800000002</v>
      </c>
      <c r="F9" s="779">
        <v>1975082.98</v>
      </c>
      <c r="G9" s="781">
        <v>1569985.21</v>
      </c>
      <c r="H9" s="779"/>
      <c r="I9" s="779">
        <v>1626581.05</v>
      </c>
      <c r="J9" s="779">
        <f>1569985.21</f>
        <v>1569985.21</v>
      </c>
      <c r="K9" s="779">
        <v>1474077.0299999998</v>
      </c>
      <c r="L9" s="779">
        <v>1474077.03</v>
      </c>
      <c r="M9" s="779">
        <v>1663639.2999999998</v>
      </c>
      <c r="N9" s="779">
        <f>1663639.3+3106253.03</f>
        <v>4769892.33</v>
      </c>
      <c r="O9" s="782">
        <v>1558083.21</v>
      </c>
      <c r="P9" s="781">
        <v>1558083.21</v>
      </c>
      <c r="Q9" s="781">
        <v>1631888.12</v>
      </c>
      <c r="R9" s="781">
        <v>1631888.12</v>
      </c>
      <c r="S9" s="781">
        <v>1654284.8599999999</v>
      </c>
      <c r="T9" s="781">
        <v>1654284.86</v>
      </c>
      <c r="U9" s="781">
        <v>1573979.79</v>
      </c>
      <c r="V9" s="781"/>
      <c r="W9" s="781">
        <v>1487882.6400000001</v>
      </c>
      <c r="X9" s="781">
        <f>1573979.79+1487882.64</f>
        <v>3061862.4299999997</v>
      </c>
      <c r="Y9" s="781">
        <v>1563562.96</v>
      </c>
      <c r="Z9" s="781">
        <v>1563562.96</v>
      </c>
      <c r="AA9" s="781">
        <v>1741734.7400000002</v>
      </c>
      <c r="AB9" s="782">
        <f t="shared" si="2"/>
        <v>1741734.2999999989</v>
      </c>
      <c r="AC9" s="704"/>
      <c r="AD9" s="476">
        <f t="shared" si="0"/>
        <v>1975082.5399999986</v>
      </c>
      <c r="AE9" s="476"/>
      <c r="AF9" s="476">
        <f t="shared" si="1"/>
        <v>19025370.890000001</v>
      </c>
      <c r="AG9" s="537">
        <f t="shared" si="3"/>
        <v>19258719.130000003</v>
      </c>
      <c r="AH9" s="474">
        <f t="shared" si="4"/>
        <v>1741734.299999997</v>
      </c>
    </row>
    <row r="10" spans="1:35" s="538" customFormat="1" x14ac:dyDescent="0.45">
      <c r="A10" s="778" t="s">
        <v>31</v>
      </c>
      <c r="B10" s="779">
        <v>5507069.1400000127</v>
      </c>
      <c r="C10" s="780"/>
      <c r="D10" s="779">
        <v>25333.19</v>
      </c>
      <c r="E10" s="779">
        <v>5082259.79</v>
      </c>
      <c r="F10" s="779">
        <f>5590889.18+21910.43+5398195.31</f>
        <v>11010994.919999998</v>
      </c>
      <c r="G10" s="781">
        <v>5409314.6600000001</v>
      </c>
      <c r="H10" s="779"/>
      <c r="I10" s="779">
        <v>5957234.3299999991</v>
      </c>
      <c r="J10" s="779">
        <v>11289004.07</v>
      </c>
      <c r="K10" s="783">
        <v>5155415.9400000004</v>
      </c>
      <c r="L10" s="779">
        <v>5180810.1000000006</v>
      </c>
      <c r="M10" s="779">
        <v>5518132.6399999997</v>
      </c>
      <c r="N10" s="779"/>
      <c r="O10" s="782">
        <v>5658222.7199999997</v>
      </c>
      <c r="P10" s="781">
        <f>810.95+5568713</f>
        <v>5569523.9500000002</v>
      </c>
      <c r="Q10" s="781">
        <v>5759675.1699999999</v>
      </c>
      <c r="R10" s="781">
        <f>5658222.72+5759675.17</f>
        <v>11417897.890000001</v>
      </c>
      <c r="S10" s="781">
        <v>5987000.9199999999</v>
      </c>
      <c r="T10" s="781">
        <f>16365.3</f>
        <v>16365.3</v>
      </c>
      <c r="U10" s="781">
        <v>5579204.0099999998</v>
      </c>
      <c r="V10" s="781">
        <v>5970635.6200000001</v>
      </c>
      <c r="W10" s="781">
        <v>5069864.8199999994</v>
      </c>
      <c r="X10" s="781">
        <f>5566886.41+12317.6+5040155.01</f>
        <v>10619359.02</v>
      </c>
      <c r="Y10" s="781">
        <v>6258889.5600000005</v>
      </c>
      <c r="Z10" s="781">
        <v>6235982.2399999993</v>
      </c>
      <c r="AA10" s="781">
        <v>6501568.7599999998</v>
      </c>
      <c r="AB10" s="782">
        <f t="shared" si="2"/>
        <v>6107946.1600000104</v>
      </c>
      <c r="AC10" s="704"/>
      <c r="AD10" s="476">
        <f t="shared" si="0"/>
        <v>5507069.1400000127</v>
      </c>
      <c r="AE10" s="476"/>
      <c r="AF10" s="476">
        <f t="shared" si="1"/>
        <v>67936783.320000008</v>
      </c>
      <c r="AG10" s="537">
        <f t="shared" si="3"/>
        <v>67335906.299999997</v>
      </c>
      <c r="AH10" s="474">
        <f t="shared" si="4"/>
        <v>6107946.1600000262</v>
      </c>
    </row>
    <row r="11" spans="1:35" s="538" customFormat="1" x14ac:dyDescent="0.45">
      <c r="A11" s="778" t="s">
        <v>189</v>
      </c>
      <c r="B11" s="779">
        <v>-2348.8999999994412</v>
      </c>
      <c r="C11" s="780"/>
      <c r="D11" s="779"/>
      <c r="E11" s="779">
        <v>0</v>
      </c>
      <c r="F11" s="779"/>
      <c r="G11" s="781">
        <v>0</v>
      </c>
      <c r="H11" s="779"/>
      <c r="I11" s="779">
        <v>0</v>
      </c>
      <c r="J11" s="779"/>
      <c r="K11" s="779">
        <v>0</v>
      </c>
      <c r="L11" s="779"/>
      <c r="M11" s="779">
        <v>0</v>
      </c>
      <c r="N11" s="779"/>
      <c r="O11" s="782">
        <v>0</v>
      </c>
      <c r="P11" s="781"/>
      <c r="Q11" s="781">
        <v>0</v>
      </c>
      <c r="R11" s="781"/>
      <c r="S11" s="781">
        <v>0</v>
      </c>
      <c r="T11" s="781"/>
      <c r="U11" s="781">
        <v>0</v>
      </c>
      <c r="V11" s="781"/>
      <c r="W11" s="781">
        <v>0</v>
      </c>
      <c r="X11" s="781"/>
      <c r="Y11" s="781"/>
      <c r="Z11" s="781"/>
      <c r="AA11" s="781">
        <v>0</v>
      </c>
      <c r="AB11" s="782">
        <f t="shared" si="2"/>
        <v>-2348.8999999994412</v>
      </c>
      <c r="AC11" s="704"/>
      <c r="AD11" s="476">
        <f t="shared" si="0"/>
        <v>-2348.8999999994412</v>
      </c>
      <c r="AE11" s="476"/>
      <c r="AF11" s="476">
        <f t="shared" si="1"/>
        <v>0</v>
      </c>
      <c r="AG11" s="537">
        <f t="shared" si="3"/>
        <v>0</v>
      </c>
      <c r="AH11" s="474">
        <f t="shared" si="4"/>
        <v>-2348.8999999994412</v>
      </c>
    </row>
    <row r="12" spans="1:35" s="538" customFormat="1" x14ac:dyDescent="0.45">
      <c r="A12" s="784" t="s">
        <v>363</v>
      </c>
      <c r="B12" s="785">
        <v>7737599.6900000358</v>
      </c>
      <c r="C12" s="786"/>
      <c r="D12" s="785"/>
      <c r="E12" s="787">
        <v>7790921.8900000015</v>
      </c>
      <c r="F12" s="785">
        <v>7737599.6900000004</v>
      </c>
      <c r="G12" s="787">
        <v>7095476.79</v>
      </c>
      <c r="H12" s="785">
        <f>7790921.89</f>
        <v>7790921.8899999997</v>
      </c>
      <c r="I12" s="785">
        <v>8312867.54</v>
      </c>
      <c r="J12" s="785">
        <f>7095467.79</f>
        <v>7095467.79</v>
      </c>
      <c r="K12" s="785">
        <v>7503310.1400000006</v>
      </c>
      <c r="L12" s="785">
        <v>8312867.54</v>
      </c>
      <c r="M12" s="785">
        <v>7706346.5</v>
      </c>
      <c r="N12" s="785">
        <f>7503310.14+7706345.6</f>
        <v>15209655.739999998</v>
      </c>
      <c r="O12" s="788">
        <v>7988674.46</v>
      </c>
      <c r="P12" s="787"/>
      <c r="Q12" s="787">
        <v>8023564.7000000002</v>
      </c>
      <c r="R12" s="787">
        <f>7988674.46+8023564.7</f>
        <v>16012239.16</v>
      </c>
      <c r="S12" s="787">
        <v>8364269.0100000007</v>
      </c>
      <c r="T12" s="787"/>
      <c r="U12" s="787">
        <v>8023673.6600000001</v>
      </c>
      <c r="V12" s="787">
        <v>16387942.67</v>
      </c>
      <c r="W12" s="789">
        <v>7484604.8100000005</v>
      </c>
      <c r="X12" s="787">
        <v>7484604.8099999996</v>
      </c>
      <c r="Y12" s="787">
        <v>7364215.6299999999</v>
      </c>
      <c r="Z12" s="787">
        <v>7364225.5300000003</v>
      </c>
      <c r="AA12" s="787">
        <v>8062386.9400000004</v>
      </c>
      <c r="AB12" s="782">
        <f t="shared" si="2"/>
        <v>8062386.9400000423</v>
      </c>
      <c r="AC12" s="704"/>
      <c r="AD12" s="476">
        <f t="shared" si="0"/>
        <v>7737599.6900000358</v>
      </c>
      <c r="AE12" s="476"/>
      <c r="AF12" s="476">
        <f t="shared" si="1"/>
        <v>93720312.069999993</v>
      </c>
      <c r="AG12" s="537">
        <f t="shared" si="3"/>
        <v>93395524.820000008</v>
      </c>
      <c r="AH12" s="474">
        <f t="shared" si="4"/>
        <v>8062386.9400000274</v>
      </c>
      <c r="AI12" s="589"/>
    </row>
    <row r="13" spans="1:35" s="538" customFormat="1" x14ac:dyDescent="0.45">
      <c r="A13" s="784" t="s">
        <v>364</v>
      </c>
      <c r="B13" s="785">
        <v>10535954.454000019</v>
      </c>
      <c r="C13" s="786"/>
      <c r="D13" s="785">
        <f>6704692.22+45480.76</f>
        <v>6750172.9799999995</v>
      </c>
      <c r="E13" s="785">
        <v>2488582.59</v>
      </c>
      <c r="F13" s="785">
        <f>45126.1</f>
        <v>45126.1</v>
      </c>
      <c r="G13" s="787">
        <v>2558375.77</v>
      </c>
      <c r="H13" s="785">
        <f>2521107.95+2475061.53+0.5</f>
        <v>4996169.9800000004</v>
      </c>
      <c r="I13" s="785">
        <v>2597309.9300000002</v>
      </c>
      <c r="J13" s="785">
        <f>45939.1+2512436.67+46131.37</f>
        <v>2604507.14</v>
      </c>
      <c r="K13" s="785">
        <v>2478832.5499999998</v>
      </c>
      <c r="L13" s="785">
        <v>3764689.49</v>
      </c>
      <c r="M13" s="785">
        <v>2609538.52</v>
      </c>
      <c r="N13" s="785">
        <f>2422910.3</f>
        <v>2422910.2999999998</v>
      </c>
      <c r="O13" s="788">
        <v>2573368.0699999998</v>
      </c>
      <c r="P13" s="787">
        <f>2553528.4+53927.65</f>
        <v>2607456.0499999998</v>
      </c>
      <c r="Q13" s="787">
        <v>2319113.65</v>
      </c>
      <c r="R13" s="787">
        <f>2522298.5+48987.1+1784976.6</f>
        <v>4356262.2</v>
      </c>
      <c r="S13" s="787">
        <v>2959300.8600000003</v>
      </c>
      <c r="T13" s="787">
        <f>45964.4+50270.9+113212.5+2415230.5</f>
        <v>2624678.2999999998</v>
      </c>
      <c r="U13" s="787">
        <v>2529946.02</v>
      </c>
      <c r="V13" s="787">
        <v>45647.3</v>
      </c>
      <c r="W13" s="787">
        <v>2657341.6599999997</v>
      </c>
      <c r="X13" s="787">
        <f>114990.5+2458594.08+104261+103574.2</f>
        <v>2781419.7800000003</v>
      </c>
      <c r="Y13" s="787">
        <v>2708029.8000000003</v>
      </c>
      <c r="Z13" s="790">
        <v>2776275.3000000003</v>
      </c>
      <c r="AA13" s="787">
        <v>2732312.43</v>
      </c>
      <c r="AB13" s="782">
        <f t="shared" si="2"/>
        <v>5972691.3840000173</v>
      </c>
      <c r="AC13" s="704"/>
      <c r="AD13" s="476">
        <f t="shared" si="0"/>
        <v>10535954.454000019</v>
      </c>
      <c r="AE13" s="476"/>
      <c r="AF13" s="476">
        <f t="shared" si="1"/>
        <v>31212051.849999998</v>
      </c>
      <c r="AG13" s="537">
        <f t="shared" si="3"/>
        <v>35775314.920000002</v>
      </c>
      <c r="AH13" s="474">
        <f t="shared" si="4"/>
        <v>5972691.3840000182</v>
      </c>
    </row>
    <row r="14" spans="1:35" s="538" customFormat="1" x14ac:dyDescent="0.45">
      <c r="A14" s="784" t="s">
        <v>86</v>
      </c>
      <c r="B14" s="785">
        <v>100776.00000000012</v>
      </c>
      <c r="C14" s="786"/>
      <c r="D14" s="785"/>
      <c r="E14" s="789">
        <v>7752</v>
      </c>
      <c r="F14" s="785"/>
      <c r="G14" s="787">
        <v>7752</v>
      </c>
      <c r="H14" s="785"/>
      <c r="I14" s="785">
        <v>7752</v>
      </c>
      <c r="J14" s="785"/>
      <c r="K14" s="785">
        <v>7752</v>
      </c>
      <c r="L14" s="785"/>
      <c r="M14" s="785">
        <v>7752</v>
      </c>
      <c r="N14" s="785"/>
      <c r="O14" s="788">
        <v>7752</v>
      </c>
      <c r="P14" s="787"/>
      <c r="Q14" s="787">
        <v>7752</v>
      </c>
      <c r="R14" s="787"/>
      <c r="S14" s="787">
        <v>7752</v>
      </c>
      <c r="T14" s="787"/>
      <c r="U14" s="787">
        <v>7752</v>
      </c>
      <c r="V14" s="787"/>
      <c r="W14" s="787">
        <v>7752</v>
      </c>
      <c r="X14" s="787"/>
      <c r="Y14" s="787">
        <v>7752</v>
      </c>
      <c r="Z14" s="787"/>
      <c r="AA14" s="787">
        <v>7752</v>
      </c>
      <c r="AB14" s="782">
        <f t="shared" si="2"/>
        <v>193800.00000000012</v>
      </c>
      <c r="AC14" s="704"/>
      <c r="AD14" s="476">
        <f t="shared" si="0"/>
        <v>100776.00000000012</v>
      </c>
      <c r="AE14" s="476"/>
      <c r="AF14" s="476">
        <f t="shared" si="1"/>
        <v>93024</v>
      </c>
      <c r="AG14" s="537">
        <f t="shared" si="3"/>
        <v>0</v>
      </c>
      <c r="AH14" s="474">
        <f t="shared" si="4"/>
        <v>193800.00000000012</v>
      </c>
    </row>
    <row r="15" spans="1:35" s="538" customFormat="1" x14ac:dyDescent="0.45">
      <c r="A15" s="784" t="s">
        <v>334</v>
      </c>
      <c r="B15" s="785">
        <v>122486.99999999837</v>
      </c>
      <c r="C15" s="786"/>
      <c r="D15" s="785"/>
      <c r="E15" s="785">
        <v>43745</v>
      </c>
      <c r="F15" s="785"/>
      <c r="G15" s="787">
        <v>8749</v>
      </c>
      <c r="H15" s="785"/>
      <c r="I15" s="785">
        <v>8749</v>
      </c>
      <c r="J15" s="785"/>
      <c r="K15" s="785">
        <v>8749</v>
      </c>
      <c r="L15" s="785"/>
      <c r="M15" s="787">
        <v>8749</v>
      </c>
      <c r="N15" s="785"/>
      <c r="O15" s="788">
        <v>8749</v>
      </c>
      <c r="P15" s="787"/>
      <c r="Q15" s="783">
        <v>8749</v>
      </c>
      <c r="R15" s="787"/>
      <c r="S15" s="787">
        <v>8749</v>
      </c>
      <c r="T15" s="787"/>
      <c r="U15" s="787">
        <v>8749</v>
      </c>
      <c r="V15" s="787"/>
      <c r="W15" s="787">
        <v>8749</v>
      </c>
      <c r="X15" s="787"/>
      <c r="Y15" s="787">
        <v>8749</v>
      </c>
      <c r="Z15" s="787"/>
      <c r="AA15" s="787">
        <v>8749</v>
      </c>
      <c r="AB15" s="782">
        <f t="shared" si="2"/>
        <v>262470.99999999837</v>
      </c>
      <c r="AC15" s="704"/>
      <c r="AD15" s="476">
        <f t="shared" si="0"/>
        <v>122486.99999999837</v>
      </c>
      <c r="AE15" s="476"/>
      <c r="AF15" s="476">
        <f t="shared" si="1"/>
        <v>139984</v>
      </c>
      <c r="AG15" s="537">
        <f t="shared" si="3"/>
        <v>0</v>
      </c>
      <c r="AH15" s="474">
        <f t="shared" si="4"/>
        <v>262470.99999999837</v>
      </c>
    </row>
    <row r="16" spans="1:35" s="538" customFormat="1" x14ac:dyDescent="0.45">
      <c r="A16" s="784" t="s">
        <v>459</v>
      </c>
      <c r="B16" s="785">
        <v>94994.15</v>
      </c>
      <c r="C16" s="786"/>
      <c r="D16" s="785"/>
      <c r="E16" s="787">
        <v>0</v>
      </c>
      <c r="F16" s="785"/>
      <c r="G16" s="787">
        <v>0</v>
      </c>
      <c r="H16" s="785"/>
      <c r="I16" s="785">
        <v>0</v>
      </c>
      <c r="J16" s="785"/>
      <c r="K16" s="785">
        <v>0</v>
      </c>
      <c r="L16" s="785"/>
      <c r="M16" s="787">
        <v>0</v>
      </c>
      <c r="N16" s="785"/>
      <c r="O16" s="788">
        <v>0</v>
      </c>
      <c r="P16" s="787"/>
      <c r="Q16" s="787">
        <v>0</v>
      </c>
      <c r="R16" s="787"/>
      <c r="S16" s="787">
        <v>0</v>
      </c>
      <c r="T16" s="787"/>
      <c r="U16" s="787"/>
      <c r="V16" s="787"/>
      <c r="W16" s="787">
        <v>0</v>
      </c>
      <c r="X16" s="787"/>
      <c r="Y16" s="787"/>
      <c r="Z16" s="787"/>
      <c r="AA16" s="787">
        <v>0</v>
      </c>
      <c r="AB16" s="782">
        <f t="shared" si="2"/>
        <v>94994.15</v>
      </c>
      <c r="AC16" s="704"/>
      <c r="AD16" s="476">
        <f t="shared" si="0"/>
        <v>94994.15</v>
      </c>
      <c r="AE16" s="476"/>
      <c r="AF16" s="476">
        <f t="shared" si="1"/>
        <v>0</v>
      </c>
      <c r="AG16" s="537">
        <f t="shared" si="3"/>
        <v>0</v>
      </c>
      <c r="AH16" s="474">
        <f t="shared" si="4"/>
        <v>94994.15</v>
      </c>
    </row>
    <row r="17" spans="1:35" s="538" customFormat="1" x14ac:dyDescent="0.45">
      <c r="A17" s="784" t="s">
        <v>460</v>
      </c>
      <c r="B17" s="785">
        <v>-7.2759576141834259E-12</v>
      </c>
      <c r="C17" s="786"/>
      <c r="D17" s="785">
        <v>0</v>
      </c>
      <c r="E17" s="787">
        <v>0</v>
      </c>
      <c r="F17" s="785"/>
      <c r="G17" s="787">
        <v>0</v>
      </c>
      <c r="H17" s="785"/>
      <c r="I17" s="785">
        <v>0</v>
      </c>
      <c r="J17" s="785"/>
      <c r="K17" s="785">
        <v>0</v>
      </c>
      <c r="L17" s="785"/>
      <c r="M17" s="787">
        <v>0</v>
      </c>
      <c r="N17" s="785"/>
      <c r="O17" s="788">
        <v>0</v>
      </c>
      <c r="P17" s="787"/>
      <c r="Q17" s="787">
        <v>0</v>
      </c>
      <c r="R17" s="787"/>
      <c r="S17" s="787">
        <v>0</v>
      </c>
      <c r="T17" s="787"/>
      <c r="U17" s="787">
        <v>0</v>
      </c>
      <c r="V17" s="787"/>
      <c r="W17" s="787">
        <v>0</v>
      </c>
      <c r="X17" s="787"/>
      <c r="Y17" s="787"/>
      <c r="Z17" s="787"/>
      <c r="AA17" s="787">
        <v>0</v>
      </c>
      <c r="AB17" s="782">
        <f t="shared" si="2"/>
        <v>-7.2759576141834259E-12</v>
      </c>
      <c r="AC17" s="704"/>
      <c r="AD17" s="476">
        <f t="shared" si="0"/>
        <v>-7.2759576141834259E-12</v>
      </c>
      <c r="AE17" s="476"/>
      <c r="AF17" s="476">
        <f t="shared" si="1"/>
        <v>0</v>
      </c>
      <c r="AG17" s="537">
        <f t="shared" si="3"/>
        <v>0</v>
      </c>
      <c r="AH17" s="474">
        <f t="shared" si="4"/>
        <v>-7.2759576141834259E-12</v>
      </c>
    </row>
    <row r="18" spans="1:35" s="538" customFormat="1" x14ac:dyDescent="0.45">
      <c r="A18" s="784" t="s">
        <v>461</v>
      </c>
      <c r="B18" s="785">
        <v>0</v>
      </c>
      <c r="C18" s="786"/>
      <c r="D18" s="785"/>
      <c r="E18" s="787">
        <v>0</v>
      </c>
      <c r="F18" s="785"/>
      <c r="G18" s="787">
        <v>0</v>
      </c>
      <c r="H18" s="785"/>
      <c r="I18" s="785">
        <v>0</v>
      </c>
      <c r="J18" s="785"/>
      <c r="K18" s="785">
        <v>0</v>
      </c>
      <c r="L18" s="785"/>
      <c r="M18" s="787">
        <v>0</v>
      </c>
      <c r="N18" s="785"/>
      <c r="O18" s="788">
        <v>0</v>
      </c>
      <c r="P18" s="787"/>
      <c r="Q18" s="787">
        <v>0</v>
      </c>
      <c r="R18" s="787"/>
      <c r="S18" s="787">
        <v>0</v>
      </c>
      <c r="T18" s="787"/>
      <c r="U18" s="787">
        <v>0</v>
      </c>
      <c r="V18" s="787"/>
      <c r="W18" s="787">
        <v>0</v>
      </c>
      <c r="X18" s="787"/>
      <c r="Y18" s="787"/>
      <c r="Z18" s="787"/>
      <c r="AA18" s="787">
        <v>0</v>
      </c>
      <c r="AB18" s="782">
        <f t="shared" si="2"/>
        <v>0</v>
      </c>
      <c r="AC18" s="704"/>
      <c r="AD18" s="476">
        <f t="shared" si="0"/>
        <v>0</v>
      </c>
      <c r="AE18" s="476"/>
      <c r="AF18" s="476">
        <f t="shared" si="1"/>
        <v>0</v>
      </c>
      <c r="AG18" s="537">
        <f t="shared" si="3"/>
        <v>0</v>
      </c>
      <c r="AH18" s="474">
        <f t="shared" si="4"/>
        <v>0</v>
      </c>
    </row>
    <row r="19" spans="1:35" s="538" customFormat="1" x14ac:dyDescent="0.45">
      <c r="A19" s="784" t="s">
        <v>41</v>
      </c>
      <c r="B19" s="785">
        <v>604156.05999999959</v>
      </c>
      <c r="C19" s="786"/>
      <c r="D19" s="785"/>
      <c r="E19" s="785">
        <v>0</v>
      </c>
      <c r="F19" s="785"/>
      <c r="G19" s="787">
        <v>0</v>
      </c>
      <c r="H19" s="785"/>
      <c r="I19" s="785">
        <v>0</v>
      </c>
      <c r="J19" s="785"/>
      <c r="K19" s="785">
        <v>0</v>
      </c>
      <c r="L19" s="785"/>
      <c r="M19" s="787">
        <v>0</v>
      </c>
      <c r="N19" s="785"/>
      <c r="O19" s="788">
        <v>0</v>
      </c>
      <c r="P19" s="787"/>
      <c r="Q19" s="787">
        <v>0</v>
      </c>
      <c r="R19" s="787"/>
      <c r="S19" s="787">
        <v>0</v>
      </c>
      <c r="T19" s="787"/>
      <c r="U19" s="787">
        <v>0</v>
      </c>
      <c r="V19" s="787"/>
      <c r="W19" s="787">
        <v>0</v>
      </c>
      <c r="X19" s="791"/>
      <c r="Y19" s="787"/>
      <c r="Z19" s="787"/>
      <c r="AA19" s="787">
        <v>0</v>
      </c>
      <c r="AB19" s="782">
        <f t="shared" si="2"/>
        <v>604156.05999999959</v>
      </c>
      <c r="AC19" s="704"/>
      <c r="AD19" s="476">
        <f t="shared" si="0"/>
        <v>604156.05999999959</v>
      </c>
      <c r="AE19" s="476"/>
      <c r="AF19" s="476">
        <f t="shared" si="1"/>
        <v>0</v>
      </c>
      <c r="AG19" s="537">
        <f t="shared" si="3"/>
        <v>0</v>
      </c>
      <c r="AH19" s="474">
        <f t="shared" si="4"/>
        <v>604156.05999999959</v>
      </c>
    </row>
    <row r="20" spans="1:35" s="538" customFormat="1" x14ac:dyDescent="0.45">
      <c r="A20" s="784" t="s">
        <v>26</v>
      </c>
      <c r="B20" s="785">
        <v>6066679.5200000154</v>
      </c>
      <c r="C20" s="786"/>
      <c r="D20" s="785"/>
      <c r="E20" s="785">
        <v>7102966.1200000001</v>
      </c>
      <c r="F20" s="785">
        <f>6066679.52+7102966.12</f>
        <v>13169645.640000001</v>
      </c>
      <c r="G20" s="787">
        <v>6593689.7400000002</v>
      </c>
      <c r="H20" s="785"/>
      <c r="I20" s="785">
        <v>7379793.2299999986</v>
      </c>
      <c r="J20" s="785">
        <f>6593689.74+7379793.23</f>
        <v>13973482.970000001</v>
      </c>
      <c r="K20" s="785">
        <v>6460026.9699999997</v>
      </c>
      <c r="L20" s="785">
        <v>6460026.9699999997</v>
      </c>
      <c r="M20" s="785">
        <v>6685157.0099999998</v>
      </c>
      <c r="N20" s="785">
        <v>6685157.0099999998</v>
      </c>
      <c r="O20" s="788">
        <v>6993558.3699999992</v>
      </c>
      <c r="P20" s="787">
        <v>6993558.3700000001</v>
      </c>
      <c r="Q20" s="787">
        <v>6903798.9800000004</v>
      </c>
      <c r="R20" s="787">
        <v>6903798.9800000004</v>
      </c>
      <c r="S20" s="787">
        <v>7466573.4199999999</v>
      </c>
      <c r="T20" s="787">
        <v>7466573.5</v>
      </c>
      <c r="U20" s="787">
        <v>7050739.2400000002</v>
      </c>
      <c r="V20" s="787">
        <v>7050739.2400000002</v>
      </c>
      <c r="W20" s="787">
        <v>6254515.5</v>
      </c>
      <c r="X20" s="787">
        <v>6254515.5</v>
      </c>
      <c r="Y20" s="787">
        <v>6736634.8500000006</v>
      </c>
      <c r="Z20" s="787">
        <v>6736634.8499999996</v>
      </c>
      <c r="AA20" s="787">
        <v>7526141.4299999997</v>
      </c>
      <c r="AB20" s="782">
        <f t="shared" si="2"/>
        <v>7526141.3500000127</v>
      </c>
      <c r="AC20" s="704"/>
      <c r="AD20" s="476">
        <f t="shared" si="0"/>
        <v>6066679.5200000154</v>
      </c>
      <c r="AE20" s="476"/>
      <c r="AF20" s="476">
        <f t="shared" si="1"/>
        <v>83153594.859999985</v>
      </c>
      <c r="AG20" s="537">
        <f t="shared" si="3"/>
        <v>81694133.029999986</v>
      </c>
      <c r="AH20" s="474">
        <f t="shared" si="4"/>
        <v>7526141.3500000089</v>
      </c>
    </row>
    <row r="21" spans="1:35" s="538" customFormat="1" x14ac:dyDescent="0.45">
      <c r="A21" s="784" t="s">
        <v>36</v>
      </c>
      <c r="B21" s="785">
        <v>4006459.7299999958</v>
      </c>
      <c r="C21" s="786"/>
      <c r="D21" s="785">
        <v>1110283.53</v>
      </c>
      <c r="E21" s="785">
        <v>1296919.77</v>
      </c>
      <c r="F21" s="785"/>
      <c r="G21" s="787">
        <v>1311059.1100000001</v>
      </c>
      <c r="H21" s="785"/>
      <c r="I21" s="785">
        <v>1393638.35</v>
      </c>
      <c r="J21" s="785">
        <f>1264923.54</f>
        <v>1264923.54</v>
      </c>
      <c r="K21" s="785">
        <v>1242811.29</v>
      </c>
      <c r="L21" s="785"/>
      <c r="M21" s="787">
        <v>1358849.2</v>
      </c>
      <c r="N21" s="785"/>
      <c r="O21" s="788">
        <v>1310015.03</v>
      </c>
      <c r="P21" s="787">
        <v>6603277.7199999997</v>
      </c>
      <c r="Q21" s="787">
        <v>1359632.5100000002</v>
      </c>
      <c r="R21" s="787">
        <v>1310015.03</v>
      </c>
      <c r="S21" s="787">
        <v>1380307.3199999998</v>
      </c>
      <c r="T21" s="787">
        <v>1359632.51</v>
      </c>
      <c r="U21" s="787">
        <v>1321759.8799999999</v>
      </c>
      <c r="V21" s="787"/>
      <c r="W21" s="787">
        <v>1311111.3800000001</v>
      </c>
      <c r="X21" s="787">
        <v>1321759.8799999999</v>
      </c>
      <c r="Y21" s="787">
        <v>1342549.1700000002</v>
      </c>
      <c r="Z21" s="787">
        <v>2691418.7</v>
      </c>
      <c r="AA21" s="787">
        <v>1383981.93</v>
      </c>
      <c r="AB21" s="782">
        <f t="shared" si="2"/>
        <v>4357783.7599999961</v>
      </c>
      <c r="AC21" s="704"/>
      <c r="AD21" s="476">
        <f t="shared" si="0"/>
        <v>4006459.7299999958</v>
      </c>
      <c r="AE21" s="476"/>
      <c r="AF21" s="476">
        <f t="shared" si="1"/>
        <v>16012634.940000001</v>
      </c>
      <c r="AG21" s="537">
        <f t="shared" si="3"/>
        <v>15661310.909999996</v>
      </c>
      <c r="AH21" s="474">
        <f t="shared" si="4"/>
        <v>4357783.7600000016</v>
      </c>
    </row>
    <row r="22" spans="1:35" s="538" customFormat="1" x14ac:dyDescent="0.45">
      <c r="A22" s="784" t="s">
        <v>23</v>
      </c>
      <c r="B22" s="785">
        <v>1783334.8000000014</v>
      </c>
      <c r="C22" s="786"/>
      <c r="D22" s="785"/>
      <c r="E22" s="785">
        <v>178181.57</v>
      </c>
      <c r="F22" s="785"/>
      <c r="G22" s="787">
        <v>110269.83000000002</v>
      </c>
      <c r="H22" s="785"/>
      <c r="I22" s="785">
        <v>186730.8</v>
      </c>
      <c r="J22" s="785">
        <f>125995.82+206203.86+331990.67</f>
        <v>664190.35</v>
      </c>
      <c r="K22" s="785">
        <v>146492.24</v>
      </c>
      <c r="L22" s="785">
        <v>144939.82999999999</v>
      </c>
      <c r="M22" s="785">
        <v>123185.82999999999</v>
      </c>
      <c r="N22" s="785">
        <f>66276.55</f>
        <v>66276.55</v>
      </c>
      <c r="O22" s="788">
        <v>109478.45</v>
      </c>
      <c r="P22" s="787">
        <f>43353.14</f>
        <v>43353.14</v>
      </c>
      <c r="Q22" s="787">
        <v>112807.62999999999</v>
      </c>
      <c r="R22" s="787">
        <f>37283.53+36491.74</f>
        <v>73775.26999999999</v>
      </c>
      <c r="S22" s="787">
        <v>116818.95</v>
      </c>
      <c r="T22" s="787">
        <v>38824.83</v>
      </c>
      <c r="U22" s="787">
        <v>114750.12999999999</v>
      </c>
      <c r="V22" s="787"/>
      <c r="W22" s="787">
        <v>112481.74999999999</v>
      </c>
      <c r="X22" s="787">
        <f>39238.84+35368.44</f>
        <v>74607.28</v>
      </c>
      <c r="Y22" s="787">
        <v>-27483.14</v>
      </c>
      <c r="Z22" s="787"/>
      <c r="AA22" s="787">
        <v>-861109.85</v>
      </c>
      <c r="AB22" s="782">
        <f t="shared" si="2"/>
        <v>1099971.7400000012</v>
      </c>
      <c r="AC22" s="704"/>
      <c r="AD22" s="476">
        <f t="shared" si="0"/>
        <v>1783334.8000000014</v>
      </c>
      <c r="AE22" s="476"/>
      <c r="AF22" s="476">
        <f t="shared" si="1"/>
        <v>422604.18999999983</v>
      </c>
      <c r="AG22" s="537">
        <f t="shared" si="3"/>
        <v>1105967.25</v>
      </c>
      <c r="AH22" s="474">
        <f t="shared" si="4"/>
        <v>1099971.7400000012</v>
      </c>
    </row>
    <row r="23" spans="1:35" s="538" customFormat="1" x14ac:dyDescent="0.45">
      <c r="A23" s="784" t="s">
        <v>21</v>
      </c>
      <c r="B23" s="785">
        <v>295150.97999999579</v>
      </c>
      <c r="C23" s="786"/>
      <c r="D23" s="785">
        <v>3068753.48</v>
      </c>
      <c r="E23" s="785">
        <v>3510538.2099999995</v>
      </c>
      <c r="F23" s="785"/>
      <c r="G23" s="787">
        <v>3284023.8800000004</v>
      </c>
      <c r="H23" s="785"/>
      <c r="I23" s="785">
        <v>3489132.4799999995</v>
      </c>
      <c r="J23" s="785"/>
      <c r="K23" s="785">
        <v>3094155.08</v>
      </c>
      <c r="L23" s="785"/>
      <c r="M23" s="785">
        <v>3289694.26</v>
      </c>
      <c r="N23" s="785">
        <f>6773156.28</f>
        <v>6773156.2800000003</v>
      </c>
      <c r="O23" s="788">
        <v>3170994.33</v>
      </c>
      <c r="P23" s="787">
        <f>6383849.34</f>
        <v>6383849.3399999999</v>
      </c>
      <c r="Q23" s="787">
        <v>3269820.54</v>
      </c>
      <c r="R23" s="787">
        <f>3510538.21</f>
        <v>3510538.21</v>
      </c>
      <c r="S23" s="787">
        <v>3491153.4799999995</v>
      </c>
      <c r="T23" s="787">
        <f>59913.19+3107105.6</f>
        <v>3167018.79</v>
      </c>
      <c r="U23" s="787">
        <v>3444886.6400000006</v>
      </c>
      <c r="V23" s="787"/>
      <c r="W23" s="787">
        <v>3317175.3899999997</v>
      </c>
      <c r="X23" s="787">
        <f>3491153.4</f>
        <v>3491153.4</v>
      </c>
      <c r="Y23" s="787">
        <v>3473999.82</v>
      </c>
      <c r="Z23" s="787">
        <v>13407056.18</v>
      </c>
      <c r="AA23" s="787">
        <v>3655718.87</v>
      </c>
      <c r="AB23" s="782">
        <f t="shared" si="2"/>
        <v>984918.27999999467</v>
      </c>
      <c r="AC23" s="704"/>
      <c r="AD23" s="476">
        <f t="shared" si="0"/>
        <v>295150.97999999579</v>
      </c>
      <c r="AE23" s="476"/>
      <c r="AF23" s="476">
        <f t="shared" si="1"/>
        <v>40491292.979999997</v>
      </c>
      <c r="AG23" s="537">
        <f t="shared" si="3"/>
        <v>39801525.679999992</v>
      </c>
      <c r="AH23" s="474">
        <f t="shared" si="4"/>
        <v>984918.28000000119</v>
      </c>
      <c r="AI23" s="589"/>
    </row>
    <row r="24" spans="1:35" s="538" customFormat="1" x14ac:dyDescent="0.45">
      <c r="A24" s="784" t="s">
        <v>185</v>
      </c>
      <c r="B24" s="785">
        <v>505426.95000000321</v>
      </c>
      <c r="C24" s="786"/>
      <c r="D24" s="785"/>
      <c r="E24" s="785">
        <v>177929.76</v>
      </c>
      <c r="F24" s="785"/>
      <c r="G24" s="787">
        <v>9791</v>
      </c>
      <c r="H24" s="785">
        <f>19582+9791</f>
        <v>29373</v>
      </c>
      <c r="I24" s="785">
        <v>0</v>
      </c>
      <c r="J24" s="785"/>
      <c r="K24" s="785">
        <v>0</v>
      </c>
      <c r="L24" s="785"/>
      <c r="M24" s="785">
        <v>0</v>
      </c>
      <c r="N24" s="785"/>
      <c r="O24" s="788">
        <v>9119.16</v>
      </c>
      <c r="P24" s="787">
        <v>9119.16</v>
      </c>
      <c r="Q24" s="787">
        <v>0</v>
      </c>
      <c r="R24" s="787"/>
      <c r="S24" s="787">
        <v>0</v>
      </c>
      <c r="T24" s="787"/>
      <c r="U24" s="787">
        <v>0</v>
      </c>
      <c r="V24" s="787"/>
      <c r="W24" s="787">
        <v>0</v>
      </c>
      <c r="X24" s="787"/>
      <c r="Y24" s="787"/>
      <c r="Z24" s="787"/>
      <c r="AA24" s="787">
        <v>0</v>
      </c>
      <c r="AB24" s="782">
        <f t="shared" si="2"/>
        <v>663774.71000000322</v>
      </c>
      <c r="AC24" s="704"/>
      <c r="AD24" s="476">
        <f t="shared" si="0"/>
        <v>505426.95000000321</v>
      </c>
      <c r="AE24" s="476"/>
      <c r="AF24" s="476">
        <f t="shared" si="1"/>
        <v>196839.92</v>
      </c>
      <c r="AG24" s="537">
        <f t="shared" si="3"/>
        <v>38492.160000000003</v>
      </c>
      <c r="AH24" s="474">
        <f t="shared" si="4"/>
        <v>663774.71000000322</v>
      </c>
    </row>
    <row r="25" spans="1:35" s="538" customFormat="1" x14ac:dyDescent="0.45">
      <c r="A25" s="784" t="s">
        <v>89</v>
      </c>
      <c r="B25" s="785">
        <v>-4655.5600000000559</v>
      </c>
      <c r="C25" s="786"/>
      <c r="D25" s="785"/>
      <c r="E25" s="785">
        <v>0</v>
      </c>
      <c r="F25" s="785"/>
      <c r="G25" s="787">
        <v>0</v>
      </c>
      <c r="H25" s="785"/>
      <c r="I25" s="785">
        <v>0</v>
      </c>
      <c r="J25" s="785"/>
      <c r="K25" s="785">
        <v>0</v>
      </c>
      <c r="L25" s="785"/>
      <c r="M25" s="785">
        <v>0</v>
      </c>
      <c r="N25" s="785"/>
      <c r="O25" s="788">
        <v>0</v>
      </c>
      <c r="P25" s="787"/>
      <c r="Q25" s="787">
        <v>0</v>
      </c>
      <c r="R25" s="787"/>
      <c r="S25" s="787">
        <v>0</v>
      </c>
      <c r="T25" s="787"/>
      <c r="U25" s="787">
        <v>0</v>
      </c>
      <c r="V25" s="787"/>
      <c r="W25" s="787">
        <v>0</v>
      </c>
      <c r="X25" s="787"/>
      <c r="Y25" s="787"/>
      <c r="Z25" s="787"/>
      <c r="AA25" s="787">
        <v>0</v>
      </c>
      <c r="AB25" s="782">
        <f t="shared" si="2"/>
        <v>-4655.5600000000559</v>
      </c>
      <c r="AC25" s="704"/>
      <c r="AD25" s="476">
        <f t="shared" si="0"/>
        <v>-4655.5600000000559</v>
      </c>
      <c r="AE25" s="476"/>
      <c r="AF25" s="476">
        <f t="shared" si="1"/>
        <v>0</v>
      </c>
      <c r="AG25" s="537">
        <f t="shared" si="3"/>
        <v>0</v>
      </c>
      <c r="AH25" s="474">
        <f t="shared" si="4"/>
        <v>-4655.5600000000559</v>
      </c>
    </row>
    <row r="26" spans="1:35" s="538" customFormat="1" x14ac:dyDescent="0.45">
      <c r="A26" s="784" t="s">
        <v>308</v>
      </c>
      <c r="B26" s="785">
        <v>900045.71999999811</v>
      </c>
      <c r="C26" s="786"/>
      <c r="D26" s="785">
        <v>598013</v>
      </c>
      <c r="E26" s="785">
        <v>831228.89</v>
      </c>
      <c r="F26" s="785">
        <v>1141248.6100000001</v>
      </c>
      <c r="G26" s="787">
        <v>828975.04</v>
      </c>
      <c r="H26" s="785"/>
      <c r="I26" s="785">
        <v>983169.57000000007</v>
      </c>
      <c r="J26" s="785">
        <v>1812144.61</v>
      </c>
      <c r="K26" s="785">
        <v>864218.26</v>
      </c>
      <c r="L26" s="785">
        <v>864218.26</v>
      </c>
      <c r="M26" s="785">
        <v>924109.23</v>
      </c>
      <c r="N26" s="785">
        <v>924109.23</v>
      </c>
      <c r="O26" s="788">
        <v>916599.65999999992</v>
      </c>
      <c r="P26" s="787">
        <v>916599.66</v>
      </c>
      <c r="Q26" s="787">
        <v>934497.45</v>
      </c>
      <c r="R26" s="787">
        <v>934497.45</v>
      </c>
      <c r="S26" s="783">
        <v>951774.26</v>
      </c>
      <c r="T26" s="787">
        <v>951774.26</v>
      </c>
      <c r="U26" s="787">
        <v>952790.96000000008</v>
      </c>
      <c r="V26" s="787">
        <v>952790.96</v>
      </c>
      <c r="W26" s="787">
        <v>898870.15999999992</v>
      </c>
      <c r="X26" s="787">
        <v>890883.16</v>
      </c>
      <c r="Y26" s="787">
        <v>998153.41</v>
      </c>
      <c r="Z26" s="790">
        <v>998153.41</v>
      </c>
      <c r="AA26" s="787">
        <v>1055257.42</v>
      </c>
      <c r="AB26" s="782">
        <f t="shared" si="2"/>
        <v>1055257.4199999976</v>
      </c>
      <c r="AC26" s="704"/>
      <c r="AD26" s="476">
        <f t="shared" si="0"/>
        <v>900045.71999999811</v>
      </c>
      <c r="AE26" s="476"/>
      <c r="AF26" s="476">
        <f t="shared" si="1"/>
        <v>11139644.310000001</v>
      </c>
      <c r="AG26" s="537">
        <f t="shared" si="3"/>
        <v>10984432.610000001</v>
      </c>
      <c r="AH26" s="474">
        <f t="shared" si="4"/>
        <v>1055257.4199999981</v>
      </c>
    </row>
    <row r="27" spans="1:35" s="538" customFormat="1" x14ac:dyDescent="0.45">
      <c r="A27" s="784" t="s">
        <v>85</v>
      </c>
      <c r="B27" s="785">
        <v>111188.99999999977</v>
      </c>
      <c r="C27" s="786"/>
      <c r="D27" s="785"/>
      <c r="E27" s="785">
        <v>8553</v>
      </c>
      <c r="F27" s="785"/>
      <c r="G27" s="787">
        <v>8553</v>
      </c>
      <c r="H27" s="785"/>
      <c r="I27" s="785">
        <v>8553</v>
      </c>
      <c r="J27" s="785"/>
      <c r="K27" s="787">
        <v>8553</v>
      </c>
      <c r="L27" s="785"/>
      <c r="M27" s="785">
        <v>8553</v>
      </c>
      <c r="N27" s="785"/>
      <c r="O27" s="788">
        <v>8553</v>
      </c>
      <c r="P27" s="787"/>
      <c r="Q27" s="787">
        <v>8553</v>
      </c>
      <c r="R27" s="787"/>
      <c r="S27" s="787">
        <v>8553</v>
      </c>
      <c r="T27" s="787"/>
      <c r="U27" s="787">
        <v>8553</v>
      </c>
      <c r="V27" s="787"/>
      <c r="W27" s="787">
        <v>8553</v>
      </c>
      <c r="X27" s="787"/>
      <c r="Y27" s="787">
        <v>8553</v>
      </c>
      <c r="Z27" s="787"/>
      <c r="AA27" s="787">
        <v>8553</v>
      </c>
      <c r="AB27" s="782">
        <f t="shared" si="2"/>
        <v>213824.99999999977</v>
      </c>
      <c r="AC27" s="704"/>
      <c r="AD27" s="476">
        <f t="shared" si="0"/>
        <v>111188.99999999977</v>
      </c>
      <c r="AE27" s="476"/>
      <c r="AF27" s="476">
        <f t="shared" si="1"/>
        <v>102636</v>
      </c>
      <c r="AG27" s="537">
        <f t="shared" si="3"/>
        <v>0</v>
      </c>
      <c r="AH27" s="474">
        <f t="shared" si="4"/>
        <v>213824.99999999977</v>
      </c>
    </row>
    <row r="28" spans="1:35" s="538" customFormat="1" x14ac:dyDescent="0.45">
      <c r="A28" s="784" t="s">
        <v>37</v>
      </c>
      <c r="B28" s="785">
        <v>2160770.0899999957</v>
      </c>
      <c r="C28" s="786"/>
      <c r="D28" s="785">
        <v>861492.91999999993</v>
      </c>
      <c r="E28" s="785">
        <v>577103.14</v>
      </c>
      <c r="F28" s="785"/>
      <c r="G28" s="787">
        <v>631551.49</v>
      </c>
      <c r="H28" s="785">
        <f>265115.14</f>
        <v>265115.14</v>
      </c>
      <c r="I28" s="785">
        <v>2596890.94</v>
      </c>
      <c r="J28" s="785">
        <f>577103.14</f>
        <v>577103.14</v>
      </c>
      <c r="K28" s="785">
        <v>576222.93999999994</v>
      </c>
      <c r="L28" s="785">
        <v>631551.49</v>
      </c>
      <c r="M28" s="785">
        <v>609585.94999999995</v>
      </c>
      <c r="N28" s="785">
        <f>2596890.95+576222.94</f>
        <v>3173113.89</v>
      </c>
      <c r="O28" s="788">
        <v>663687.13</v>
      </c>
      <c r="P28" s="787">
        <v>609585.94999999995</v>
      </c>
      <c r="Q28" s="787">
        <v>662034.93000000005</v>
      </c>
      <c r="R28" s="787">
        <f>662034.93+663687.14</f>
        <v>1325722.07</v>
      </c>
      <c r="S28" s="787">
        <v>712334.84</v>
      </c>
      <c r="T28" s="787">
        <f>712334.84</f>
        <v>712334.84</v>
      </c>
      <c r="U28" s="787">
        <v>659971.63</v>
      </c>
      <c r="V28" s="787"/>
      <c r="W28" s="787">
        <v>527284.44999999995</v>
      </c>
      <c r="X28" s="787">
        <v>659971.63</v>
      </c>
      <c r="Y28" s="787">
        <v>652138.25</v>
      </c>
      <c r="Z28" s="787">
        <v>527284.44999999995</v>
      </c>
      <c r="AA28" s="787">
        <v>738712.56</v>
      </c>
      <c r="AB28" s="782">
        <f t="shared" si="2"/>
        <v>2425012.8199999966</v>
      </c>
      <c r="AC28" s="704"/>
      <c r="AD28" s="476">
        <f t="shared" si="0"/>
        <v>2160770.0899999957</v>
      </c>
      <c r="AE28" s="476"/>
      <c r="AF28" s="476">
        <f t="shared" si="1"/>
        <v>9607518.25</v>
      </c>
      <c r="AG28" s="537">
        <f t="shared" si="3"/>
        <v>9343275.5199999996</v>
      </c>
      <c r="AH28" s="474">
        <f t="shared" si="4"/>
        <v>2425012.8199999966</v>
      </c>
    </row>
    <row r="29" spans="1:35" s="538" customFormat="1" x14ac:dyDescent="0.45">
      <c r="A29" s="784" t="s">
        <v>28</v>
      </c>
      <c r="B29" s="785">
        <v>-248376.38999999859</v>
      </c>
      <c r="C29" s="786"/>
      <c r="D29" s="785"/>
      <c r="E29" s="785">
        <v>637.33000000000004</v>
      </c>
      <c r="F29" s="785"/>
      <c r="G29" s="789">
        <v>48701.34</v>
      </c>
      <c r="H29" s="785"/>
      <c r="I29" s="785">
        <v>122508.23</v>
      </c>
      <c r="J29" s="785"/>
      <c r="K29" s="785">
        <v>95466.12</v>
      </c>
      <c r="L29" s="785">
        <v>55845.66</v>
      </c>
      <c r="M29" s="785">
        <v>161001.82</v>
      </c>
      <c r="N29" s="785"/>
      <c r="O29" s="788">
        <v>156448.89000000001</v>
      </c>
      <c r="P29" s="787"/>
      <c r="Q29" s="792">
        <v>188334.46</v>
      </c>
      <c r="R29" s="787"/>
      <c r="S29" s="787">
        <v>259135.18</v>
      </c>
      <c r="T29" s="787"/>
      <c r="U29" s="787">
        <v>56253.87</v>
      </c>
      <c r="V29" s="787"/>
      <c r="W29" s="787">
        <v>57504.4</v>
      </c>
      <c r="X29" s="787">
        <v>185057.47</v>
      </c>
      <c r="Y29" s="787">
        <v>13619.93</v>
      </c>
      <c r="Z29" s="787"/>
      <c r="AA29" s="787">
        <v>5440.75</v>
      </c>
      <c r="AB29" s="782">
        <f t="shared" si="2"/>
        <v>675772.80000000156</v>
      </c>
      <c r="AC29" s="704"/>
      <c r="AD29" s="476">
        <f t="shared" si="0"/>
        <v>-248376.38999999859</v>
      </c>
      <c r="AE29" s="476"/>
      <c r="AF29" s="476">
        <f t="shared" si="1"/>
        <v>1165052.3199999998</v>
      </c>
      <c r="AG29" s="537">
        <f t="shared" si="3"/>
        <v>240903.13</v>
      </c>
      <c r="AH29" s="474">
        <f t="shared" si="4"/>
        <v>675772.80000000121</v>
      </c>
    </row>
    <row r="30" spans="1:35" s="538" customFormat="1" x14ac:dyDescent="0.45">
      <c r="A30" s="784" t="s">
        <v>91</v>
      </c>
      <c r="B30" s="785">
        <v>-501.40999999968335</v>
      </c>
      <c r="C30" s="786"/>
      <c r="D30" s="785"/>
      <c r="E30" s="785">
        <v>0</v>
      </c>
      <c r="F30" s="785"/>
      <c r="G30" s="787">
        <v>0</v>
      </c>
      <c r="H30" s="785"/>
      <c r="I30" s="785">
        <v>0</v>
      </c>
      <c r="J30" s="785"/>
      <c r="K30" s="785">
        <v>0</v>
      </c>
      <c r="L30" s="785"/>
      <c r="M30" s="785">
        <v>0</v>
      </c>
      <c r="N30" s="785"/>
      <c r="O30" s="788">
        <v>0</v>
      </c>
      <c r="P30" s="787"/>
      <c r="Q30" s="787">
        <v>0</v>
      </c>
      <c r="R30" s="787"/>
      <c r="S30" s="787">
        <v>0</v>
      </c>
      <c r="T30" s="787"/>
      <c r="U30" s="787">
        <v>0</v>
      </c>
      <c r="V30" s="787"/>
      <c r="W30" s="787">
        <v>0</v>
      </c>
      <c r="X30" s="787"/>
      <c r="Y30" s="787"/>
      <c r="Z30" s="787"/>
      <c r="AA30" s="787">
        <v>0</v>
      </c>
      <c r="AB30" s="782">
        <f t="shared" si="2"/>
        <v>-501.40999999968335</v>
      </c>
      <c r="AC30" s="704"/>
      <c r="AD30" s="476">
        <f t="shared" si="0"/>
        <v>-501.40999999968335</v>
      </c>
      <c r="AE30" s="476"/>
      <c r="AF30" s="476">
        <f t="shared" si="1"/>
        <v>0</v>
      </c>
      <c r="AG30" s="537">
        <f t="shared" si="3"/>
        <v>0</v>
      </c>
      <c r="AH30" s="474">
        <f t="shared" si="4"/>
        <v>-501.40999999968335</v>
      </c>
    </row>
    <row r="31" spans="1:35" s="538" customFormat="1" x14ac:dyDescent="0.45">
      <c r="A31" s="784" t="s">
        <v>57</v>
      </c>
      <c r="B31" s="785">
        <v>1320599.0000000007</v>
      </c>
      <c r="C31" s="786"/>
      <c r="D31" s="785"/>
      <c r="E31" s="787">
        <v>1275815.0899999999</v>
      </c>
      <c r="F31" s="785">
        <f>1320599.09</f>
        <v>1320599.0900000001</v>
      </c>
      <c r="G31" s="787">
        <v>1335945.5499999998</v>
      </c>
      <c r="H31" s="785">
        <f>1290530.09</f>
        <v>1290530.0900000001</v>
      </c>
      <c r="I31" s="785">
        <v>1364854.07</v>
      </c>
      <c r="J31" s="785">
        <v>1321230.55</v>
      </c>
      <c r="K31" s="787">
        <v>1289198.02</v>
      </c>
      <c r="L31" s="785">
        <v>1364854.07</v>
      </c>
      <c r="M31" s="785">
        <v>1346153.28</v>
      </c>
      <c r="N31" s="785">
        <f>1289198.02</f>
        <v>1289198.02</v>
      </c>
      <c r="O31" s="788">
        <v>1313785.0299999998</v>
      </c>
      <c r="P31" s="787">
        <v>2659938.33</v>
      </c>
      <c r="Q31" s="787">
        <v>1170171.29</v>
      </c>
      <c r="R31" s="787">
        <v>1170171.29</v>
      </c>
      <c r="S31" s="787">
        <v>1500181.56</v>
      </c>
      <c r="T31" s="787"/>
      <c r="U31" s="787">
        <v>1230483.9600000002</v>
      </c>
      <c r="V31" s="787">
        <f>1500181.56+1230483.96</f>
        <v>2730665.52</v>
      </c>
      <c r="W31" s="787">
        <v>1189646.54</v>
      </c>
      <c r="X31" s="787">
        <v>1189646.54</v>
      </c>
      <c r="Y31" s="787">
        <v>1188451.3</v>
      </c>
      <c r="Z31" s="790">
        <v>1188451.3</v>
      </c>
      <c r="AA31" s="787">
        <v>1412419.2</v>
      </c>
      <c r="AB31" s="782">
        <f t="shared" si="2"/>
        <v>1412419.090000001</v>
      </c>
      <c r="AC31" s="704"/>
      <c r="AD31" s="476">
        <f t="shared" si="0"/>
        <v>1320599.0000000007</v>
      </c>
      <c r="AE31" s="476"/>
      <c r="AF31" s="476">
        <f t="shared" si="1"/>
        <v>15617104.890000004</v>
      </c>
      <c r="AG31" s="537">
        <f t="shared" si="3"/>
        <v>15525284.800000001</v>
      </c>
      <c r="AH31" s="474">
        <f t="shared" si="4"/>
        <v>1412419.0900000036</v>
      </c>
    </row>
    <row r="32" spans="1:35" s="538" customFormat="1" x14ac:dyDescent="0.45">
      <c r="A32" s="784" t="s">
        <v>65</v>
      </c>
      <c r="B32" s="785">
        <v>74364.099999999744</v>
      </c>
      <c r="C32" s="786"/>
      <c r="D32" s="785">
        <v>74364.100000000006</v>
      </c>
      <c r="E32" s="785">
        <v>77057.62</v>
      </c>
      <c r="F32" s="785"/>
      <c r="G32" s="787">
        <v>78026.27</v>
      </c>
      <c r="H32" s="785"/>
      <c r="I32" s="785">
        <v>80284.87</v>
      </c>
      <c r="J32" s="785">
        <f>80284.87</f>
        <v>80284.87</v>
      </c>
      <c r="K32" s="785">
        <v>75425.17</v>
      </c>
      <c r="L32" s="785">
        <v>75425.17</v>
      </c>
      <c r="M32" s="785">
        <v>78613.37000000001</v>
      </c>
      <c r="N32" s="785"/>
      <c r="O32" s="788">
        <v>82959.600000000006</v>
      </c>
      <c r="P32" s="787">
        <f>78613.37+82959.6</f>
        <v>161572.97</v>
      </c>
      <c r="Q32" s="787">
        <v>79000.37000000001</v>
      </c>
      <c r="R32" s="787"/>
      <c r="S32" s="787">
        <v>82315.8</v>
      </c>
      <c r="T32" s="787">
        <f>79000.37+82315.8</f>
        <v>161316.16999999998</v>
      </c>
      <c r="U32" s="787">
        <v>77833.77</v>
      </c>
      <c r="V32" s="787">
        <v>77833.77</v>
      </c>
      <c r="W32" s="787">
        <v>75008.87</v>
      </c>
      <c r="X32" s="787">
        <v>230092.76</v>
      </c>
      <c r="Y32" s="787">
        <v>82719.95</v>
      </c>
      <c r="Z32" s="790">
        <v>82719.95</v>
      </c>
      <c r="AA32" s="787">
        <v>93252.790000000008</v>
      </c>
      <c r="AB32" s="782">
        <f t="shared" si="2"/>
        <v>93252.789999999775</v>
      </c>
      <c r="AC32" s="704"/>
      <c r="AD32" s="476">
        <f t="shared" si="0"/>
        <v>74364.099999999744</v>
      </c>
      <c r="AE32" s="476"/>
      <c r="AF32" s="476">
        <f t="shared" si="1"/>
        <v>962498.45000000007</v>
      </c>
      <c r="AG32" s="537">
        <f t="shared" si="3"/>
        <v>943609.76</v>
      </c>
      <c r="AH32" s="474">
        <f t="shared" si="4"/>
        <v>93252.789999999804</v>
      </c>
    </row>
    <row r="33" spans="1:34" s="538" customFormat="1" x14ac:dyDescent="0.45">
      <c r="A33" s="784" t="s">
        <v>335</v>
      </c>
      <c r="B33" s="785">
        <v>1945796.8500000089</v>
      </c>
      <c r="C33" s="786"/>
      <c r="D33" s="785"/>
      <c r="E33" s="785">
        <v>1827879.7899999998</v>
      </c>
      <c r="F33" s="785"/>
      <c r="G33" s="787">
        <v>1826931.4799999997</v>
      </c>
      <c r="H33" s="785">
        <f>1827879.79</f>
        <v>1827879.79</v>
      </c>
      <c r="I33" s="785">
        <v>2033391.62</v>
      </c>
      <c r="J33" s="785">
        <f>1826931.48</f>
        <v>1826931.48</v>
      </c>
      <c r="K33" s="785">
        <v>1924688.71</v>
      </c>
      <c r="L33" s="785">
        <v>3958080.33</v>
      </c>
      <c r="M33" s="787">
        <v>2019537.9</v>
      </c>
      <c r="N33" s="785"/>
      <c r="O33" s="788">
        <v>2055643.67</v>
      </c>
      <c r="P33" s="787">
        <v>6017977.7800000003</v>
      </c>
      <c r="Q33" s="787">
        <v>2024684.45</v>
      </c>
      <c r="R33" s="787">
        <v>2024684.45</v>
      </c>
      <c r="S33" s="787">
        <v>2219953.56</v>
      </c>
      <c r="T33" s="787">
        <f>2219953.56</f>
        <v>2219953.56</v>
      </c>
      <c r="U33" s="787">
        <v>2135976.87</v>
      </c>
      <c r="V33" s="787"/>
      <c r="W33" s="787">
        <v>1957200.12</v>
      </c>
      <c r="X33" s="787">
        <f>2135976.87+1957200.12</f>
        <v>4093176.99</v>
      </c>
      <c r="Y33" s="789">
        <v>1986177.95</v>
      </c>
      <c r="Z33" s="787">
        <v>1986177.95</v>
      </c>
      <c r="AA33" s="787">
        <v>2223134.23</v>
      </c>
      <c r="AB33" s="782">
        <f t="shared" si="2"/>
        <v>2226134.870000009</v>
      </c>
      <c r="AC33" s="704"/>
      <c r="AD33" s="476">
        <f t="shared" si="0"/>
        <v>1945796.8500000089</v>
      </c>
      <c r="AE33" s="476"/>
      <c r="AF33" s="476">
        <f t="shared" si="1"/>
        <v>24235200.350000001</v>
      </c>
      <c r="AG33" s="537">
        <f t="shared" si="3"/>
        <v>23954862.329999994</v>
      </c>
      <c r="AH33" s="474">
        <f t="shared" si="4"/>
        <v>2226134.8700000159</v>
      </c>
    </row>
    <row r="34" spans="1:34" s="538" customFormat="1" x14ac:dyDescent="0.45">
      <c r="A34" s="784" t="s">
        <v>186</v>
      </c>
      <c r="B34" s="785">
        <v>546236.47000000102</v>
      </c>
      <c r="C34" s="786"/>
      <c r="D34" s="785">
        <f>275078.77+88016.66</f>
        <v>363095.43000000005</v>
      </c>
      <c r="E34" s="785">
        <v>84660.68</v>
      </c>
      <c r="F34" s="785"/>
      <c r="G34" s="787">
        <v>91149.2</v>
      </c>
      <c r="H34" s="785">
        <f>84660.68</f>
        <v>84660.68</v>
      </c>
      <c r="I34" s="785">
        <v>89053.89</v>
      </c>
      <c r="J34" s="785">
        <f>143887.2+130403.04</f>
        <v>274290.24</v>
      </c>
      <c r="K34" s="785">
        <v>88652.9</v>
      </c>
      <c r="L34" s="785">
        <v>177706.78999999998</v>
      </c>
      <c r="M34" s="785">
        <v>91965.8</v>
      </c>
      <c r="N34" s="785">
        <f>91965.8</f>
        <v>91965.8</v>
      </c>
      <c r="O34" s="788">
        <v>82668.760000000009</v>
      </c>
      <c r="P34" s="787"/>
      <c r="Q34" s="787">
        <v>86254.9</v>
      </c>
      <c r="R34" s="787">
        <f>74345.76+77931.9</f>
        <v>152277.65999999997</v>
      </c>
      <c r="S34" s="787">
        <v>78752.94</v>
      </c>
      <c r="T34" s="787"/>
      <c r="U34" s="787">
        <v>67603.77</v>
      </c>
      <c r="V34" s="787">
        <v>129710.71</v>
      </c>
      <c r="W34" s="787">
        <v>57759.67</v>
      </c>
      <c r="X34" s="787">
        <v>57759.67</v>
      </c>
      <c r="Y34" s="787">
        <v>59885.35</v>
      </c>
      <c r="Z34" s="787">
        <v>59885.35</v>
      </c>
      <c r="AA34" s="787">
        <v>64536.119999999995</v>
      </c>
      <c r="AB34" s="782">
        <f t="shared" si="2"/>
        <v>97828.120000001043</v>
      </c>
      <c r="AC34" s="704"/>
      <c r="AD34" s="476">
        <f t="shared" si="0"/>
        <v>546236.47000000102</v>
      </c>
      <c r="AE34" s="476"/>
      <c r="AF34" s="476">
        <f t="shared" si="1"/>
        <v>942943.9800000001</v>
      </c>
      <c r="AG34" s="537">
        <f t="shared" si="3"/>
        <v>1391352.33</v>
      </c>
      <c r="AH34" s="474">
        <f t="shared" si="4"/>
        <v>97828.120000001043</v>
      </c>
    </row>
    <row r="35" spans="1:34" s="538" customFormat="1" x14ac:dyDescent="0.45">
      <c r="A35" s="784" t="s">
        <v>39</v>
      </c>
      <c r="B35" s="785">
        <v>1235203.5899999999</v>
      </c>
      <c r="C35" s="786"/>
      <c r="D35" s="785">
        <f>475720.83+398356.78</f>
        <v>874077.6100000001</v>
      </c>
      <c r="E35" s="789">
        <v>480604.56999999995</v>
      </c>
      <c r="F35" s="785">
        <f>432935.13</f>
        <v>432935.13</v>
      </c>
      <c r="G35" s="787">
        <v>462279.5199999999</v>
      </c>
      <c r="H35" s="785">
        <f>480604.57</f>
        <v>480604.57</v>
      </c>
      <c r="I35" s="793">
        <v>326914.49</v>
      </c>
      <c r="J35" s="785">
        <f>462279.52</f>
        <v>462279.52</v>
      </c>
      <c r="K35" s="785">
        <v>220957</v>
      </c>
      <c r="L35" s="785">
        <v>326914.49</v>
      </c>
      <c r="M35" s="785">
        <v>287702.09999999998</v>
      </c>
      <c r="N35" s="785">
        <f>220957</f>
        <v>220957</v>
      </c>
      <c r="O35" s="788">
        <v>280205.36</v>
      </c>
      <c r="P35" s="787">
        <v>287702.09999999998</v>
      </c>
      <c r="Q35" s="787">
        <v>279237</v>
      </c>
      <c r="R35" s="787">
        <v>287375.17</v>
      </c>
      <c r="S35" s="783">
        <v>289945.89</v>
      </c>
      <c r="T35" s="787">
        <f>272067.19</f>
        <v>272067.19</v>
      </c>
      <c r="U35" s="787">
        <v>262835.82</v>
      </c>
      <c r="V35" s="787">
        <v>289945.89</v>
      </c>
      <c r="W35" s="787">
        <v>274516.63</v>
      </c>
      <c r="X35" s="787">
        <v>262835.82</v>
      </c>
      <c r="Y35" s="787">
        <v>299417.34999999998</v>
      </c>
      <c r="Z35" s="787">
        <v>573933.98</v>
      </c>
      <c r="AA35" s="787">
        <v>296849.89</v>
      </c>
      <c r="AB35" s="782">
        <f t="shared" si="2"/>
        <v>225040.73999999964</v>
      </c>
      <c r="AC35" s="704"/>
      <c r="AD35" s="476">
        <f t="shared" si="0"/>
        <v>1235203.5899999999</v>
      </c>
      <c r="AE35" s="476"/>
      <c r="AF35" s="476">
        <f t="shared" si="1"/>
        <v>3761465.6199999996</v>
      </c>
      <c r="AG35" s="537">
        <f t="shared" si="3"/>
        <v>4771628.4700000007</v>
      </c>
      <c r="AH35" s="474">
        <f t="shared" si="4"/>
        <v>225040.73999999836</v>
      </c>
    </row>
    <row r="36" spans="1:34" s="538" customFormat="1" x14ac:dyDescent="0.45">
      <c r="A36" s="784" t="s">
        <v>73</v>
      </c>
      <c r="B36" s="785">
        <v>1116478.0599999998</v>
      </c>
      <c r="C36" s="786"/>
      <c r="D36" s="785"/>
      <c r="E36" s="793">
        <v>175169.73</v>
      </c>
      <c r="F36" s="793">
        <v>240022.17</v>
      </c>
      <c r="G36" s="794">
        <v>208529.87</v>
      </c>
      <c r="H36" s="793">
        <f>876455.79+175169.73</f>
        <v>1051625.52</v>
      </c>
      <c r="I36" s="793">
        <v>191773.52</v>
      </c>
      <c r="J36" s="793">
        <f>208529.87+191773.52</f>
        <v>400303.39</v>
      </c>
      <c r="K36" s="795">
        <v>178276.4</v>
      </c>
      <c r="L36" s="795">
        <v>178276.4</v>
      </c>
      <c r="M36" s="795">
        <v>201807.2</v>
      </c>
      <c r="N36" s="795">
        <v>201807.2</v>
      </c>
      <c r="O36" s="788">
        <v>176227.7</v>
      </c>
      <c r="P36" s="787">
        <v>176227.7</v>
      </c>
      <c r="Q36" s="787">
        <v>161154.20000000001</v>
      </c>
      <c r="R36" s="787">
        <v>161154.20000000001</v>
      </c>
      <c r="S36" s="787">
        <v>187068.5</v>
      </c>
      <c r="T36" s="787">
        <v>187068.5</v>
      </c>
      <c r="U36" s="787">
        <v>168633</v>
      </c>
      <c r="V36" s="787">
        <v>168633</v>
      </c>
      <c r="W36" s="787">
        <v>144180.20000000001</v>
      </c>
      <c r="X36" s="787">
        <v>144180.20000000001</v>
      </c>
      <c r="Y36" s="787">
        <v>136487.29999999999</v>
      </c>
      <c r="Z36" s="790">
        <v>136487.29999999999</v>
      </c>
      <c r="AA36" s="787">
        <v>131016.37</v>
      </c>
      <c r="AB36" s="782">
        <f t="shared" si="2"/>
        <v>131016.46999999974</v>
      </c>
      <c r="AC36" s="704"/>
      <c r="AD36" s="476">
        <f t="shared" si="0"/>
        <v>1116478.0599999998</v>
      </c>
      <c r="AE36" s="476"/>
      <c r="AF36" s="476">
        <f t="shared" si="1"/>
        <v>2060323.9899999998</v>
      </c>
      <c r="AG36" s="537">
        <f t="shared" si="3"/>
        <v>3045785.58</v>
      </c>
      <c r="AH36" s="474">
        <f t="shared" si="4"/>
        <v>131016.46999999974</v>
      </c>
    </row>
    <row r="37" spans="1:34" s="538" customFormat="1" x14ac:dyDescent="0.45">
      <c r="A37" s="784" t="s">
        <v>44</v>
      </c>
      <c r="B37" s="785">
        <v>16268.819999999418</v>
      </c>
      <c r="C37" s="786"/>
      <c r="D37" s="785"/>
      <c r="E37" s="793">
        <v>0</v>
      </c>
      <c r="F37" s="793"/>
      <c r="G37" s="794">
        <v>0</v>
      </c>
      <c r="H37" s="793"/>
      <c r="I37" s="793">
        <v>0</v>
      </c>
      <c r="J37" s="793"/>
      <c r="K37" s="795">
        <v>0</v>
      </c>
      <c r="L37" s="795"/>
      <c r="M37" s="795">
        <v>0</v>
      </c>
      <c r="N37" s="795"/>
      <c r="O37" s="788">
        <v>0</v>
      </c>
      <c r="P37" s="787"/>
      <c r="Q37" s="787">
        <v>0</v>
      </c>
      <c r="R37" s="787"/>
      <c r="S37" s="787">
        <v>0</v>
      </c>
      <c r="T37" s="787"/>
      <c r="U37" s="787">
        <v>0</v>
      </c>
      <c r="V37" s="787"/>
      <c r="W37" s="787">
        <v>0</v>
      </c>
      <c r="X37" s="787"/>
      <c r="Y37" s="787"/>
      <c r="Z37" s="787"/>
      <c r="AA37" s="787">
        <v>0</v>
      </c>
      <c r="AB37" s="782">
        <f t="shared" si="2"/>
        <v>16268.819999999418</v>
      </c>
      <c r="AC37" s="704"/>
      <c r="AD37" s="476">
        <f t="shared" si="0"/>
        <v>16268.819999999418</v>
      </c>
      <c r="AE37" s="476"/>
      <c r="AF37" s="476">
        <f t="shared" si="1"/>
        <v>0</v>
      </c>
      <c r="AG37" s="537">
        <f t="shared" si="3"/>
        <v>0</v>
      </c>
      <c r="AH37" s="474">
        <f t="shared" si="4"/>
        <v>16268.819999999418</v>
      </c>
    </row>
    <row r="38" spans="1:34" s="538" customFormat="1" x14ac:dyDescent="0.45">
      <c r="A38" s="784" t="s">
        <v>42</v>
      </c>
      <c r="B38" s="785">
        <v>501439.79000000138</v>
      </c>
      <c r="C38" s="786"/>
      <c r="D38" s="785"/>
      <c r="E38" s="793">
        <v>474793.74</v>
      </c>
      <c r="F38" s="793">
        <v>501439.8</v>
      </c>
      <c r="G38" s="794">
        <v>462706.81</v>
      </c>
      <c r="H38" s="793">
        <v>474793.74</v>
      </c>
      <c r="I38" s="793">
        <v>569169.12</v>
      </c>
      <c r="J38" s="793"/>
      <c r="K38" s="795">
        <v>455037.18999999994</v>
      </c>
      <c r="L38" s="795">
        <v>462706.81</v>
      </c>
      <c r="M38" s="795">
        <v>509406.68999999994</v>
      </c>
      <c r="N38" s="795">
        <f>455037.19+569169.12</f>
        <v>1024206.31</v>
      </c>
      <c r="O38" s="788">
        <v>539506.69999999995</v>
      </c>
      <c r="P38" s="787">
        <f>509406.69</f>
        <v>509406.69</v>
      </c>
      <c r="Q38" s="787">
        <v>606118.30000000005</v>
      </c>
      <c r="R38" s="787">
        <v>539506.92000000004</v>
      </c>
      <c r="S38" s="787">
        <v>546476.31999999995</v>
      </c>
      <c r="T38" s="787"/>
      <c r="U38" s="787">
        <v>663049.35</v>
      </c>
      <c r="V38" s="787">
        <v>1152594.6200000001</v>
      </c>
      <c r="W38" s="787">
        <v>588514.15</v>
      </c>
      <c r="X38" s="787">
        <v>663049.35</v>
      </c>
      <c r="Y38" s="787">
        <v>707206.86</v>
      </c>
      <c r="Z38" s="787">
        <v>1295721.01</v>
      </c>
      <c r="AA38" s="787">
        <v>660762.29</v>
      </c>
      <c r="AB38" s="782">
        <f t="shared" si="2"/>
        <v>660762.06000000099</v>
      </c>
      <c r="AC38" s="704"/>
      <c r="AD38" s="476">
        <f t="shared" ref="AD38:AD69" si="5">B38</f>
        <v>501439.79000000138</v>
      </c>
      <c r="AE38" s="476"/>
      <c r="AF38" s="476">
        <f t="shared" ref="AF38:AF69" si="6">E38+G38+I38+K38+M38+O38+Q38+S38+U38+W38+Y38+AA38</f>
        <v>6782747.5200000005</v>
      </c>
      <c r="AG38" s="537">
        <f t="shared" si="3"/>
        <v>6623425.25</v>
      </c>
      <c r="AH38" s="474">
        <f t="shared" si="4"/>
        <v>660762.06000000145</v>
      </c>
    </row>
    <row r="39" spans="1:34" s="538" customFormat="1" x14ac:dyDescent="0.45">
      <c r="A39" s="784" t="s">
        <v>63</v>
      </c>
      <c r="B39" s="785">
        <v>-4925.8499999995111</v>
      </c>
      <c r="C39" s="786"/>
      <c r="D39" s="785"/>
      <c r="E39" s="793">
        <v>0</v>
      </c>
      <c r="F39" s="793"/>
      <c r="G39" s="794">
        <v>0</v>
      </c>
      <c r="H39" s="793"/>
      <c r="I39" s="793">
        <v>0</v>
      </c>
      <c r="J39" s="793"/>
      <c r="K39" s="795">
        <v>0</v>
      </c>
      <c r="L39" s="795"/>
      <c r="M39" s="795">
        <v>0</v>
      </c>
      <c r="N39" s="795"/>
      <c r="O39" s="788">
        <v>0</v>
      </c>
      <c r="P39" s="787"/>
      <c r="Q39" s="787">
        <v>0</v>
      </c>
      <c r="R39" s="787"/>
      <c r="S39" s="787">
        <v>0</v>
      </c>
      <c r="T39" s="787"/>
      <c r="U39" s="787">
        <v>0</v>
      </c>
      <c r="V39" s="787"/>
      <c r="W39" s="787">
        <v>0</v>
      </c>
      <c r="X39" s="787"/>
      <c r="Y39" s="787"/>
      <c r="Z39" s="787"/>
      <c r="AA39" s="787">
        <v>0</v>
      </c>
      <c r="AB39" s="782">
        <f t="shared" si="2"/>
        <v>-4925.8499999995111</v>
      </c>
      <c r="AC39" s="704"/>
      <c r="AD39" s="476">
        <f t="shared" si="5"/>
        <v>-4925.8499999995111</v>
      </c>
      <c r="AE39" s="476"/>
      <c r="AF39" s="476">
        <f t="shared" si="6"/>
        <v>0</v>
      </c>
      <c r="AG39" s="537">
        <f t="shared" si="3"/>
        <v>0</v>
      </c>
      <c r="AH39" s="474">
        <f t="shared" si="4"/>
        <v>-4925.8499999995111</v>
      </c>
    </row>
    <row r="40" spans="1:34" s="538" customFormat="1" x14ac:dyDescent="0.45">
      <c r="A40" s="784" t="s">
        <v>60</v>
      </c>
      <c r="B40" s="785">
        <v>293540.43900000153</v>
      </c>
      <c r="C40" s="786"/>
      <c r="D40" s="785"/>
      <c r="E40" s="793">
        <v>794968.24</v>
      </c>
      <c r="F40" s="793">
        <v>293540.44</v>
      </c>
      <c r="G40" s="794">
        <v>881318.1</v>
      </c>
      <c r="H40" s="793">
        <v>794968.24</v>
      </c>
      <c r="I40" s="793">
        <v>881890.2</v>
      </c>
      <c r="J40" s="793">
        <f>881318.1</f>
        <v>881318.1</v>
      </c>
      <c r="K40" s="795">
        <v>785937.1</v>
      </c>
      <c r="L40" s="795">
        <v>881890.2</v>
      </c>
      <c r="M40" s="795">
        <v>839645.79</v>
      </c>
      <c r="N40" s="795">
        <v>785937.1</v>
      </c>
      <c r="O40" s="788">
        <v>881407.8</v>
      </c>
      <c r="P40" s="787">
        <v>1721053.59</v>
      </c>
      <c r="Q40" s="787">
        <v>857832.52</v>
      </c>
      <c r="R40" s="787">
        <v>857832.52</v>
      </c>
      <c r="S40" s="787">
        <v>871635.45000000007</v>
      </c>
      <c r="T40" s="787">
        <v>871635.45</v>
      </c>
      <c r="U40" s="787">
        <v>798574.62</v>
      </c>
      <c r="V40" s="787">
        <f>798574.62</f>
        <v>798574.62</v>
      </c>
      <c r="W40" s="787">
        <v>813083.12</v>
      </c>
      <c r="X40" s="787"/>
      <c r="Y40" s="796">
        <v>1043666.59</v>
      </c>
      <c r="Z40" s="787">
        <v>1856749.71</v>
      </c>
      <c r="AA40" s="787">
        <v>1128140.76</v>
      </c>
      <c r="AB40" s="782">
        <f t="shared" si="2"/>
        <v>1128140.7590000017</v>
      </c>
      <c r="AC40" s="704"/>
      <c r="AD40" s="476">
        <f t="shared" si="5"/>
        <v>293540.43900000153</v>
      </c>
      <c r="AE40" s="476"/>
      <c r="AF40" s="476">
        <f t="shared" si="6"/>
        <v>10578100.289999999</v>
      </c>
      <c r="AG40" s="537">
        <f t="shared" si="3"/>
        <v>9743499.9699999988</v>
      </c>
      <c r="AH40" s="474">
        <f t="shared" si="4"/>
        <v>1128140.7590000015</v>
      </c>
    </row>
    <row r="41" spans="1:34" s="538" customFormat="1" x14ac:dyDescent="0.45">
      <c r="A41" s="784" t="s">
        <v>71</v>
      </c>
      <c r="B41" s="785">
        <v>1394760.0699999994</v>
      </c>
      <c r="C41" s="786"/>
      <c r="D41" s="785">
        <v>265863.21999999997</v>
      </c>
      <c r="E41" s="793">
        <v>177127.44</v>
      </c>
      <c r="F41" s="793"/>
      <c r="G41" s="794">
        <v>190224.99</v>
      </c>
      <c r="H41" s="793"/>
      <c r="I41" s="793">
        <v>219735.79</v>
      </c>
      <c r="J41" s="793">
        <f>114350.35+96673.64+345195.88</f>
        <v>556219.87</v>
      </c>
      <c r="K41" s="795">
        <v>195008.40999999997</v>
      </c>
      <c r="L41" s="795"/>
      <c r="M41" s="795">
        <v>207590.31</v>
      </c>
      <c r="N41" s="795">
        <f>116114.35+260934.55+84018.56</f>
        <v>461067.46</v>
      </c>
      <c r="O41" s="788">
        <v>203696.21</v>
      </c>
      <c r="P41" s="787">
        <f>115129.68+112875.01+110989.85+91475.96</f>
        <v>430470.50000000006</v>
      </c>
      <c r="Q41" s="787">
        <v>203268.21</v>
      </c>
      <c r="R41" s="787">
        <v>116084.15</v>
      </c>
      <c r="S41" s="787">
        <v>209685.40999999997</v>
      </c>
      <c r="T41" s="787">
        <v>331035.15000000002</v>
      </c>
      <c r="U41" s="787">
        <v>222953.57</v>
      </c>
      <c r="V41" s="787">
        <f>112204.71+87949.66</f>
        <v>200154.37</v>
      </c>
      <c r="W41" s="787">
        <v>190056.78</v>
      </c>
      <c r="X41" s="787">
        <v>216688.78</v>
      </c>
      <c r="Y41" s="787">
        <v>305905.54000000004</v>
      </c>
      <c r="Z41" s="787">
        <v>384130.44999999995</v>
      </c>
      <c r="AA41" s="787">
        <v>278260.34999999998</v>
      </c>
      <c r="AB41" s="782">
        <f t="shared" si="2"/>
        <v>1036559.1299999991</v>
      </c>
      <c r="AC41" s="704"/>
      <c r="AD41" s="476">
        <f t="shared" si="5"/>
        <v>1394760.0699999994</v>
      </c>
      <c r="AE41" s="476"/>
      <c r="AF41" s="476">
        <f t="shared" si="6"/>
        <v>2603513.0100000002</v>
      </c>
      <c r="AG41" s="537">
        <f t="shared" si="3"/>
        <v>2961713.95</v>
      </c>
      <c r="AH41" s="474">
        <f t="shared" si="4"/>
        <v>1036559.1299999994</v>
      </c>
    </row>
    <row r="42" spans="1:34" s="538" customFormat="1" x14ac:dyDescent="0.45">
      <c r="A42" s="784" t="s">
        <v>88</v>
      </c>
      <c r="B42" s="785">
        <v>0</v>
      </c>
      <c r="C42" s="786"/>
      <c r="D42" s="785"/>
      <c r="E42" s="793">
        <v>15396</v>
      </c>
      <c r="F42" s="793"/>
      <c r="G42" s="794">
        <v>0</v>
      </c>
      <c r="H42" s="793"/>
      <c r="I42" s="793">
        <v>0</v>
      </c>
      <c r="J42" s="793"/>
      <c r="K42" s="795">
        <v>0</v>
      </c>
      <c r="L42" s="795"/>
      <c r="M42" s="795">
        <v>0</v>
      </c>
      <c r="N42" s="795"/>
      <c r="O42" s="788">
        <v>0</v>
      </c>
      <c r="P42" s="787"/>
      <c r="Q42" s="787">
        <v>0</v>
      </c>
      <c r="R42" s="787"/>
      <c r="S42" s="787">
        <v>0</v>
      </c>
      <c r="T42" s="787"/>
      <c r="U42" s="787">
        <v>0</v>
      </c>
      <c r="V42" s="787"/>
      <c r="W42" s="787">
        <v>0</v>
      </c>
      <c r="X42" s="787"/>
      <c r="Y42" s="787"/>
      <c r="Z42" s="787"/>
      <c r="AA42" s="787">
        <v>0</v>
      </c>
      <c r="AB42" s="782">
        <f t="shared" si="2"/>
        <v>15396</v>
      </c>
      <c r="AC42" s="704"/>
      <c r="AD42" s="476">
        <f t="shared" si="5"/>
        <v>0</v>
      </c>
      <c r="AE42" s="476"/>
      <c r="AF42" s="476">
        <f t="shared" si="6"/>
        <v>15396</v>
      </c>
      <c r="AG42" s="537">
        <f t="shared" si="3"/>
        <v>0</v>
      </c>
      <c r="AH42" s="474">
        <f t="shared" si="4"/>
        <v>15396</v>
      </c>
    </row>
    <row r="43" spans="1:34" s="538" customFormat="1" x14ac:dyDescent="0.45">
      <c r="A43" s="784" t="s">
        <v>336</v>
      </c>
      <c r="B43" s="785">
        <v>9486.3600000003426</v>
      </c>
      <c r="C43" s="786"/>
      <c r="D43" s="785"/>
      <c r="E43" s="793">
        <v>0</v>
      </c>
      <c r="F43" s="793"/>
      <c r="G43" s="794">
        <v>13550.23</v>
      </c>
      <c r="H43" s="793"/>
      <c r="I43" s="793">
        <v>6280.02</v>
      </c>
      <c r="J43" s="793"/>
      <c r="K43" s="795">
        <v>466.88</v>
      </c>
      <c r="L43" s="795">
        <v>6280.02</v>
      </c>
      <c r="M43" s="795">
        <v>0</v>
      </c>
      <c r="N43" s="795"/>
      <c r="O43" s="788">
        <v>0</v>
      </c>
      <c r="P43" s="787"/>
      <c r="Q43" s="787">
        <v>0</v>
      </c>
      <c r="R43" s="787"/>
      <c r="S43" s="787">
        <v>0</v>
      </c>
      <c r="T43" s="787"/>
      <c r="U43" s="787">
        <v>0</v>
      </c>
      <c r="V43" s="787"/>
      <c r="W43" s="787">
        <v>0</v>
      </c>
      <c r="X43" s="787"/>
      <c r="Y43" s="787"/>
      <c r="Z43" s="787"/>
      <c r="AA43" s="461">
        <v>1040.42</v>
      </c>
      <c r="AB43" s="782">
        <f t="shared" si="2"/>
        <v>24543.890000000341</v>
      </c>
      <c r="AC43" s="704"/>
      <c r="AD43" s="476">
        <f t="shared" si="5"/>
        <v>9486.3600000003426</v>
      </c>
      <c r="AE43" s="476"/>
      <c r="AF43" s="476">
        <f t="shared" si="6"/>
        <v>21337.550000000003</v>
      </c>
      <c r="AG43" s="537">
        <f t="shared" si="3"/>
        <v>6280.02</v>
      </c>
      <c r="AH43" s="474">
        <f t="shared" si="4"/>
        <v>24543.890000000345</v>
      </c>
    </row>
    <row r="44" spans="1:34" s="538" customFormat="1" x14ac:dyDescent="0.45">
      <c r="A44" s="784" t="s">
        <v>50</v>
      </c>
      <c r="B44" s="785">
        <v>1983868.0299999998</v>
      </c>
      <c r="C44" s="786"/>
      <c r="D44" s="785">
        <v>1161909.19</v>
      </c>
      <c r="E44" s="793">
        <v>219318.34999999998</v>
      </c>
      <c r="F44" s="793">
        <v>501159.16</v>
      </c>
      <c r="G44" s="794">
        <v>265329.59999999998</v>
      </c>
      <c r="H44" s="793"/>
      <c r="I44" s="793">
        <v>255481.5</v>
      </c>
      <c r="J44" s="793">
        <f>235287.6+223328</f>
        <v>458615.6</v>
      </c>
      <c r="K44" s="795">
        <v>256066.2</v>
      </c>
      <c r="L44" s="795">
        <v>157473.45000000001</v>
      </c>
      <c r="M44" s="795">
        <v>249032.1</v>
      </c>
      <c r="N44" s="795">
        <f>38263.1</f>
        <v>38263.1</v>
      </c>
      <c r="O44" s="788">
        <v>235190.2</v>
      </c>
      <c r="P44" s="787">
        <f>235190.2+42289.3</f>
        <v>277479.5</v>
      </c>
      <c r="Q44" s="787">
        <v>158083.29999999999</v>
      </c>
      <c r="R44" s="787"/>
      <c r="S44" s="787">
        <v>253963.6</v>
      </c>
      <c r="T44" s="787">
        <f>29351.3</f>
        <v>29351.3</v>
      </c>
      <c r="U44" s="787">
        <v>242272.4</v>
      </c>
      <c r="V44" s="787">
        <f>65673+1283276</f>
        <v>1348949</v>
      </c>
      <c r="W44" s="764">
        <v>241840.1</v>
      </c>
      <c r="X44" s="787">
        <v>241840.1</v>
      </c>
      <c r="Y44" s="787">
        <v>259052.4</v>
      </c>
      <c r="Z44" s="787">
        <v>259052.4</v>
      </c>
      <c r="AA44" s="787">
        <v>275838.89</v>
      </c>
      <c r="AB44" s="782">
        <f t="shared" si="2"/>
        <v>421243.87</v>
      </c>
      <c r="AC44" s="704"/>
      <c r="AD44" s="476">
        <f t="shared" si="5"/>
        <v>1983868.0299999998</v>
      </c>
      <c r="AE44" s="476"/>
      <c r="AF44" s="476">
        <f t="shared" si="6"/>
        <v>2911468.64</v>
      </c>
      <c r="AG44" s="537">
        <f t="shared" si="3"/>
        <v>4474092.8</v>
      </c>
      <c r="AH44" s="474">
        <f t="shared" si="4"/>
        <v>421243.87000000011</v>
      </c>
    </row>
    <row r="45" spans="1:34" s="538" customFormat="1" x14ac:dyDescent="0.45">
      <c r="A45" s="784" t="s">
        <v>417</v>
      </c>
      <c r="B45" s="785">
        <v>-2858.9200000000928</v>
      </c>
      <c r="C45" s="786"/>
      <c r="D45" s="785"/>
      <c r="E45" s="793">
        <v>0</v>
      </c>
      <c r="F45" s="793"/>
      <c r="G45" s="794">
        <v>0</v>
      </c>
      <c r="H45" s="793"/>
      <c r="I45" s="793">
        <v>0</v>
      </c>
      <c r="J45" s="793"/>
      <c r="K45" s="795">
        <v>0</v>
      </c>
      <c r="L45" s="795"/>
      <c r="M45" s="795">
        <v>0</v>
      </c>
      <c r="N45" s="795"/>
      <c r="O45" s="788">
        <v>0</v>
      </c>
      <c r="P45" s="787"/>
      <c r="Q45" s="787">
        <v>0</v>
      </c>
      <c r="R45" s="787"/>
      <c r="S45" s="787">
        <v>0</v>
      </c>
      <c r="T45" s="787"/>
      <c r="U45" s="787">
        <v>0</v>
      </c>
      <c r="V45" s="787"/>
      <c r="W45" s="787">
        <v>0</v>
      </c>
      <c r="X45" s="787"/>
      <c r="Y45" s="787"/>
      <c r="Z45" s="787"/>
      <c r="AA45" s="787">
        <v>0</v>
      </c>
      <c r="AB45" s="782">
        <f t="shared" si="2"/>
        <v>-2858.9200000000928</v>
      </c>
      <c r="AC45" s="704"/>
      <c r="AD45" s="476">
        <f t="shared" si="5"/>
        <v>-2858.9200000000928</v>
      </c>
      <c r="AE45" s="476"/>
      <c r="AF45" s="476">
        <f t="shared" si="6"/>
        <v>0</v>
      </c>
      <c r="AG45" s="537">
        <f t="shared" si="3"/>
        <v>0</v>
      </c>
      <c r="AH45" s="474">
        <f t="shared" si="4"/>
        <v>-2858.9200000000928</v>
      </c>
    </row>
    <row r="46" spans="1:34" s="538" customFormat="1" x14ac:dyDescent="0.45">
      <c r="A46" s="784" t="s">
        <v>46</v>
      </c>
      <c r="B46" s="785">
        <v>488059.97</v>
      </c>
      <c r="C46" s="786"/>
      <c r="D46" s="785">
        <v>263053.07</v>
      </c>
      <c r="E46" s="793">
        <v>201260.62</v>
      </c>
      <c r="F46" s="793">
        <f>213289.51</f>
        <v>213289.51</v>
      </c>
      <c r="G46" s="794">
        <v>217974.68</v>
      </c>
      <c r="H46" s="793">
        <f>201260.62</f>
        <v>201260.62</v>
      </c>
      <c r="I46" s="793">
        <v>187349.27000000002</v>
      </c>
      <c r="J46" s="793">
        <f>217974.68</f>
        <v>217974.68</v>
      </c>
      <c r="K46" s="795">
        <v>163182.52000000002</v>
      </c>
      <c r="L46" s="795">
        <v>187349.27</v>
      </c>
      <c r="M46" s="795">
        <v>165196.16999999998</v>
      </c>
      <c r="N46" s="795">
        <v>163182.51999999999</v>
      </c>
      <c r="O46" s="788">
        <v>175842.96</v>
      </c>
      <c r="P46" s="787">
        <f>165196.17+175842.97</f>
        <v>341039.14</v>
      </c>
      <c r="Q46" s="787">
        <v>182628.51</v>
      </c>
      <c r="R46" s="787">
        <v>182626.51</v>
      </c>
      <c r="S46" s="787">
        <v>186238.75999999998</v>
      </c>
      <c r="T46" s="787">
        <v>186238.76</v>
      </c>
      <c r="U46" s="787">
        <v>183881.11000000002</v>
      </c>
      <c r="V46" s="787">
        <v>183881.11</v>
      </c>
      <c r="W46" s="787">
        <v>168082.96</v>
      </c>
      <c r="X46" s="787">
        <v>168082.96</v>
      </c>
      <c r="Y46" s="787">
        <v>156265.59</v>
      </c>
      <c r="Z46" s="787">
        <v>156265.59</v>
      </c>
      <c r="AA46" s="787">
        <v>172878.04</v>
      </c>
      <c r="AB46" s="782">
        <f t="shared" si="2"/>
        <v>184597.41999999995</v>
      </c>
      <c r="AC46" s="704"/>
      <c r="AD46" s="476">
        <f t="shared" si="5"/>
        <v>488059.97</v>
      </c>
      <c r="AE46" s="476"/>
      <c r="AF46" s="476">
        <f t="shared" si="6"/>
        <v>2160781.19</v>
      </c>
      <c r="AG46" s="537">
        <f t="shared" si="3"/>
        <v>2464243.7399999998</v>
      </c>
      <c r="AH46" s="474">
        <f t="shared" si="4"/>
        <v>184597.42000000039</v>
      </c>
    </row>
    <row r="47" spans="1:34" s="538" customFormat="1" x14ac:dyDescent="0.45">
      <c r="A47" s="784" t="s">
        <v>59</v>
      </c>
      <c r="B47" s="785">
        <v>10426.869999999977</v>
      </c>
      <c r="C47" s="786"/>
      <c r="D47" s="785">
        <v>10426.870000000001</v>
      </c>
      <c r="E47" s="793">
        <v>10621.01</v>
      </c>
      <c r="F47" s="793"/>
      <c r="G47" s="794">
        <v>9533.2999999999993</v>
      </c>
      <c r="H47" s="793">
        <f>10621.01+9533.3</f>
        <v>20154.309999999998</v>
      </c>
      <c r="I47" s="793">
        <v>7947</v>
      </c>
      <c r="J47" s="793">
        <v>7947</v>
      </c>
      <c r="K47" s="795">
        <v>9825.4</v>
      </c>
      <c r="L47" s="795">
        <v>9825.4</v>
      </c>
      <c r="M47" s="795">
        <v>8974.7000000000007</v>
      </c>
      <c r="N47" s="795"/>
      <c r="O47" s="788">
        <v>7947</v>
      </c>
      <c r="P47" s="787">
        <v>8974.7000000000007</v>
      </c>
      <c r="Q47" s="787">
        <v>0</v>
      </c>
      <c r="R47" s="787">
        <v>7947</v>
      </c>
      <c r="S47" s="787">
        <v>18975</v>
      </c>
      <c r="T47" s="787">
        <v>18975</v>
      </c>
      <c r="U47" s="787">
        <v>11322.1</v>
      </c>
      <c r="V47" s="787">
        <v>11322.1</v>
      </c>
      <c r="W47" s="787">
        <v>7947</v>
      </c>
      <c r="X47" s="787">
        <v>7947</v>
      </c>
      <c r="Y47" s="787">
        <v>8985.4</v>
      </c>
      <c r="Z47" s="787">
        <v>8985.4</v>
      </c>
      <c r="AA47" s="787">
        <v>10513.5</v>
      </c>
      <c r="AB47" s="782">
        <f t="shared" si="2"/>
        <v>10513.499999999978</v>
      </c>
      <c r="AC47" s="704"/>
      <c r="AD47" s="476">
        <f t="shared" si="5"/>
        <v>10426.869999999977</v>
      </c>
      <c r="AE47" s="476"/>
      <c r="AF47" s="476">
        <f t="shared" si="6"/>
        <v>112591.41</v>
      </c>
      <c r="AG47" s="537">
        <f t="shared" si="3"/>
        <v>112504.78</v>
      </c>
      <c r="AH47" s="474">
        <f t="shared" si="4"/>
        <v>10513.499999999985</v>
      </c>
    </row>
    <row r="48" spans="1:34" s="538" customFormat="1" x14ac:dyDescent="0.45">
      <c r="A48" s="784" t="s">
        <v>500</v>
      </c>
      <c r="B48" s="785">
        <v>251067.56</v>
      </c>
      <c r="C48" s="786"/>
      <c r="D48" s="785">
        <v>251067.56</v>
      </c>
      <c r="E48" s="793">
        <v>244641.18</v>
      </c>
      <c r="F48" s="793"/>
      <c r="G48" s="794">
        <v>257373.3</v>
      </c>
      <c r="H48" s="793">
        <f>244641.18</f>
        <v>244641.18</v>
      </c>
      <c r="I48" s="793">
        <v>272743.37</v>
      </c>
      <c r="J48" s="793">
        <f>257373.3</f>
        <v>257373.3</v>
      </c>
      <c r="K48" s="795">
        <v>247295</v>
      </c>
      <c r="L48" s="795">
        <v>520038.37</v>
      </c>
      <c r="M48" s="795">
        <v>276763.41000000003</v>
      </c>
      <c r="N48" s="795">
        <v>276763.40999999997</v>
      </c>
      <c r="O48" s="788">
        <v>269630.89</v>
      </c>
      <c r="P48" s="787">
        <v>269630.89</v>
      </c>
      <c r="Q48" s="787">
        <v>281478.99</v>
      </c>
      <c r="R48" s="787">
        <v>281478.99</v>
      </c>
      <c r="S48" s="787">
        <v>270788.5</v>
      </c>
      <c r="T48" s="787">
        <v>270788.5</v>
      </c>
      <c r="U48" s="787">
        <v>258934.6</v>
      </c>
      <c r="V48" s="787">
        <v>258934.6</v>
      </c>
      <c r="W48" s="787">
        <v>248214</v>
      </c>
      <c r="X48" s="787">
        <v>248214</v>
      </c>
      <c r="Y48" s="787">
        <v>301211.18</v>
      </c>
      <c r="Z48" s="796">
        <v>301211.18</v>
      </c>
      <c r="AA48" s="787">
        <v>292257.81</v>
      </c>
      <c r="AB48" s="782">
        <f t="shared" si="2"/>
        <v>292257.81</v>
      </c>
      <c r="AC48" s="704"/>
      <c r="AD48" s="476">
        <f t="shared" si="5"/>
        <v>251067.56</v>
      </c>
      <c r="AE48" s="476"/>
      <c r="AF48" s="476">
        <f t="shared" si="6"/>
        <v>3221332.23</v>
      </c>
      <c r="AG48" s="537">
        <f t="shared" si="3"/>
        <v>3180141.9800000004</v>
      </c>
      <c r="AH48" s="474">
        <f t="shared" si="4"/>
        <v>292257.80999999959</v>
      </c>
    </row>
    <row r="49" spans="1:34" s="538" customFormat="1" x14ac:dyDescent="0.45">
      <c r="A49" s="784" t="s">
        <v>75</v>
      </c>
      <c r="B49" s="785">
        <v>4292321.6000000015</v>
      </c>
      <c r="C49" s="786"/>
      <c r="D49" s="785">
        <v>577764</v>
      </c>
      <c r="E49" s="793">
        <v>416113.91</v>
      </c>
      <c r="F49" s="793">
        <v>608352.43999999994</v>
      </c>
      <c r="G49" s="794">
        <v>424593.69999999995</v>
      </c>
      <c r="H49" s="793">
        <v>1892389.65</v>
      </c>
      <c r="I49" s="793">
        <v>460032.74</v>
      </c>
      <c r="J49" s="793">
        <v>1269095.96</v>
      </c>
      <c r="K49" s="795">
        <v>581779.5</v>
      </c>
      <c r="L49" s="795">
        <v>1245459.8999999999</v>
      </c>
      <c r="M49" s="795">
        <v>438050.3</v>
      </c>
      <c r="N49" s="795"/>
      <c r="O49" s="788">
        <v>466153.25</v>
      </c>
      <c r="P49" s="787">
        <v>904203.55</v>
      </c>
      <c r="Q49" s="787">
        <v>471902.19999999995</v>
      </c>
      <c r="R49" s="611">
        <v>471902.2</v>
      </c>
      <c r="S49" s="611">
        <v>459666.81</v>
      </c>
      <c r="T49" s="611">
        <v>459666.81</v>
      </c>
      <c r="U49" s="611">
        <v>482944.1</v>
      </c>
      <c r="V49" s="611">
        <v>482944.1</v>
      </c>
      <c r="W49" s="611">
        <v>436144.5</v>
      </c>
      <c r="X49" s="611"/>
      <c r="Y49" s="611">
        <v>470213.45</v>
      </c>
      <c r="Z49" s="611">
        <v>436144.5</v>
      </c>
      <c r="AA49" s="611">
        <v>500905.35000000003</v>
      </c>
      <c r="AB49" s="782">
        <f t="shared" si="2"/>
        <v>1552898.3000000017</v>
      </c>
      <c r="AC49" s="704"/>
      <c r="AD49" s="476">
        <f t="shared" si="5"/>
        <v>4292321.6000000015</v>
      </c>
      <c r="AE49" s="476"/>
      <c r="AF49" s="476">
        <f t="shared" si="6"/>
        <v>5608499.8099999996</v>
      </c>
      <c r="AG49" s="537">
        <f t="shared" si="3"/>
        <v>8347923.1099999985</v>
      </c>
      <c r="AH49" s="474">
        <f t="shared" si="4"/>
        <v>1552898.3000000017</v>
      </c>
    </row>
    <row r="50" spans="1:34" s="538" customFormat="1" x14ac:dyDescent="0.45">
      <c r="A50" s="784" t="s">
        <v>84</v>
      </c>
      <c r="B50" s="785">
        <v>-5959.0299999996205</v>
      </c>
      <c r="C50" s="786"/>
      <c r="D50" s="785"/>
      <c r="E50" s="793">
        <v>0</v>
      </c>
      <c r="F50" s="793"/>
      <c r="G50" s="794">
        <v>0</v>
      </c>
      <c r="H50" s="793"/>
      <c r="I50" s="793">
        <v>0</v>
      </c>
      <c r="J50" s="793"/>
      <c r="K50" s="795">
        <v>0</v>
      </c>
      <c r="L50" s="795"/>
      <c r="M50" s="795">
        <v>0</v>
      </c>
      <c r="N50" s="795"/>
      <c r="O50" s="788">
        <v>0</v>
      </c>
      <c r="P50" s="787"/>
      <c r="Q50" s="787">
        <v>0</v>
      </c>
      <c r="R50" s="611"/>
      <c r="S50" s="611">
        <v>0</v>
      </c>
      <c r="T50" s="611"/>
      <c r="U50" s="611">
        <v>0</v>
      </c>
      <c r="V50" s="611"/>
      <c r="W50" s="611">
        <v>0</v>
      </c>
      <c r="X50" s="611"/>
      <c r="Y50" s="611"/>
      <c r="Z50" s="611"/>
      <c r="AA50" s="611">
        <v>0</v>
      </c>
      <c r="AB50" s="782">
        <f t="shared" si="2"/>
        <v>-5959.0299999996205</v>
      </c>
      <c r="AC50" s="704"/>
      <c r="AD50" s="476">
        <f t="shared" si="5"/>
        <v>-5959.0299999996205</v>
      </c>
      <c r="AE50" s="476"/>
      <c r="AF50" s="476">
        <f t="shared" si="6"/>
        <v>0</v>
      </c>
      <c r="AG50" s="537">
        <f t="shared" si="3"/>
        <v>0</v>
      </c>
      <c r="AH50" s="474">
        <f t="shared" si="4"/>
        <v>-5959.0299999996205</v>
      </c>
    </row>
    <row r="51" spans="1:34" s="538" customFormat="1" x14ac:dyDescent="0.45">
      <c r="A51" s="784" t="s">
        <v>68</v>
      </c>
      <c r="B51" s="785">
        <v>504283.37999999931</v>
      </c>
      <c r="C51" s="786"/>
      <c r="D51" s="785"/>
      <c r="E51" s="793">
        <v>119646.93</v>
      </c>
      <c r="F51" s="793">
        <f>242976.57</f>
        <v>242976.57</v>
      </c>
      <c r="G51" s="794">
        <v>128688.4</v>
      </c>
      <c r="H51" s="793">
        <v>77384.899999999994</v>
      </c>
      <c r="I51" s="793">
        <v>130441.58</v>
      </c>
      <c r="J51" s="793">
        <f>130441.58+128688.4</f>
        <v>259129.97999999998</v>
      </c>
      <c r="K51" s="795">
        <v>118433.9</v>
      </c>
      <c r="L51" s="795"/>
      <c r="M51" s="795">
        <v>92610.4</v>
      </c>
      <c r="N51" s="795">
        <v>92610.4</v>
      </c>
      <c r="O51" s="788">
        <v>85381.1</v>
      </c>
      <c r="P51" s="787">
        <v>85381.1</v>
      </c>
      <c r="Q51" s="787">
        <v>85184.4</v>
      </c>
      <c r="R51" s="611">
        <v>85184.4</v>
      </c>
      <c r="S51" s="611">
        <v>39552.5</v>
      </c>
      <c r="T51" s="611">
        <v>39552.5</v>
      </c>
      <c r="U51" s="614">
        <v>38360.1</v>
      </c>
      <c r="V51" s="611">
        <v>38360.1</v>
      </c>
      <c r="W51" s="611">
        <v>39327.300000000003</v>
      </c>
      <c r="X51" s="611"/>
      <c r="Y51" s="611">
        <v>36709.300000000003</v>
      </c>
      <c r="Z51" s="618">
        <v>411388.62</v>
      </c>
      <c r="AA51" s="611">
        <v>13557.15</v>
      </c>
      <c r="AB51" s="782">
        <f t="shared" si="2"/>
        <v>100207.86999999927</v>
      </c>
      <c r="AC51" s="704"/>
      <c r="AD51" s="476">
        <f t="shared" si="5"/>
        <v>504283.37999999931</v>
      </c>
      <c r="AE51" s="476"/>
      <c r="AF51" s="476">
        <f t="shared" si="6"/>
        <v>927893.06</v>
      </c>
      <c r="AG51" s="537">
        <f t="shared" si="3"/>
        <v>1331968.5699999998</v>
      </c>
      <c r="AH51" s="474">
        <f t="shared" si="4"/>
        <v>100207.86999999965</v>
      </c>
    </row>
    <row r="52" spans="1:34" s="538" customFormat="1" x14ac:dyDescent="0.45">
      <c r="A52" s="784" t="s">
        <v>51</v>
      </c>
      <c r="B52" s="785">
        <v>4.6566128730773926E-10</v>
      </c>
      <c r="C52" s="786"/>
      <c r="D52" s="785"/>
      <c r="E52" s="793">
        <v>0</v>
      </c>
      <c r="F52" s="793"/>
      <c r="G52" s="794">
        <v>0</v>
      </c>
      <c r="H52" s="793"/>
      <c r="I52" s="793">
        <v>0</v>
      </c>
      <c r="J52" s="793"/>
      <c r="K52" s="795">
        <v>0</v>
      </c>
      <c r="L52" s="795"/>
      <c r="M52" s="795">
        <v>0</v>
      </c>
      <c r="N52" s="795"/>
      <c r="O52" s="788">
        <v>0</v>
      </c>
      <c r="P52" s="787"/>
      <c r="Q52" s="787">
        <v>0</v>
      </c>
      <c r="R52" s="787"/>
      <c r="S52" s="787">
        <v>0</v>
      </c>
      <c r="T52" s="787"/>
      <c r="U52" s="787">
        <v>0</v>
      </c>
      <c r="V52" s="787"/>
      <c r="W52" s="787">
        <v>0</v>
      </c>
      <c r="X52" s="787"/>
      <c r="Y52" s="787"/>
      <c r="Z52" s="787"/>
      <c r="AA52" s="787">
        <v>0</v>
      </c>
      <c r="AB52" s="782">
        <f t="shared" si="2"/>
        <v>4.6566128730773926E-10</v>
      </c>
      <c r="AC52" s="704"/>
      <c r="AD52" s="476">
        <f t="shared" si="5"/>
        <v>4.6566128730773926E-10</v>
      </c>
      <c r="AE52" s="476"/>
      <c r="AF52" s="476">
        <f t="shared" si="6"/>
        <v>0</v>
      </c>
      <c r="AG52" s="537">
        <f t="shared" si="3"/>
        <v>0</v>
      </c>
      <c r="AH52" s="474">
        <f t="shared" si="4"/>
        <v>4.6566128730773926E-10</v>
      </c>
    </row>
    <row r="53" spans="1:34" s="538" customFormat="1" x14ac:dyDescent="0.45">
      <c r="A53" s="784" t="s">
        <v>366</v>
      </c>
      <c r="B53" s="785">
        <v>838192.55000000028</v>
      </c>
      <c r="C53" s="786"/>
      <c r="D53" s="785"/>
      <c r="E53" s="793">
        <v>426951.70999999996</v>
      </c>
      <c r="F53" s="793">
        <v>1085034.5</v>
      </c>
      <c r="G53" s="794">
        <v>452017.8</v>
      </c>
      <c r="H53" s="793"/>
      <c r="I53" s="793">
        <v>472852.51999999996</v>
      </c>
      <c r="J53" s="793">
        <v>1351822.03</v>
      </c>
      <c r="K53" s="795">
        <v>409180.12</v>
      </c>
      <c r="L53" s="795">
        <v>409180.12</v>
      </c>
      <c r="M53" s="795">
        <v>446868.58999999997</v>
      </c>
      <c r="N53" s="795">
        <f>446868.59</f>
        <v>446868.59</v>
      </c>
      <c r="O53" s="788">
        <v>438877.87</v>
      </c>
      <c r="P53" s="787">
        <v>438877.87</v>
      </c>
      <c r="Q53" s="787">
        <v>349369.97</v>
      </c>
      <c r="R53" s="787">
        <v>349369.97</v>
      </c>
      <c r="S53" s="787">
        <v>491846.47000000003</v>
      </c>
      <c r="T53" s="787">
        <v>491846.47</v>
      </c>
      <c r="U53" s="789">
        <v>481983.72</v>
      </c>
      <c r="V53" s="787"/>
      <c r="W53" s="787">
        <v>353612.37</v>
      </c>
      <c r="X53" s="787">
        <v>481983.72</v>
      </c>
      <c r="Y53" s="787">
        <v>509335.9</v>
      </c>
      <c r="Z53" s="787"/>
      <c r="AA53" s="787">
        <v>491531.08</v>
      </c>
      <c r="AB53" s="782">
        <f t="shared" si="2"/>
        <v>1107637.4000000004</v>
      </c>
      <c r="AC53" s="704"/>
      <c r="AD53" s="476">
        <f t="shared" si="5"/>
        <v>838192.55000000028</v>
      </c>
      <c r="AE53" s="476"/>
      <c r="AF53" s="476">
        <f t="shared" si="6"/>
        <v>5324428.120000001</v>
      </c>
      <c r="AG53" s="537">
        <f t="shared" si="3"/>
        <v>5054983.2699999996</v>
      </c>
      <c r="AH53" s="474">
        <f t="shared" si="4"/>
        <v>1107637.4000000022</v>
      </c>
    </row>
    <row r="54" spans="1:34" s="538" customFormat="1" x14ac:dyDescent="0.45">
      <c r="A54" s="784" t="s">
        <v>77</v>
      </c>
      <c r="B54" s="785">
        <v>-35689.800000000032</v>
      </c>
      <c r="C54" s="786"/>
      <c r="D54" s="785"/>
      <c r="E54" s="793">
        <v>0</v>
      </c>
      <c r="F54" s="793"/>
      <c r="G54" s="794">
        <v>0</v>
      </c>
      <c r="H54" s="793"/>
      <c r="I54" s="793">
        <v>0</v>
      </c>
      <c r="J54" s="793"/>
      <c r="K54" s="795">
        <v>0</v>
      </c>
      <c r="L54" s="795"/>
      <c r="M54" s="795">
        <v>0</v>
      </c>
      <c r="N54" s="795"/>
      <c r="O54" s="788">
        <v>0</v>
      </c>
      <c r="P54" s="787"/>
      <c r="Q54" s="787">
        <v>0</v>
      </c>
      <c r="R54" s="787"/>
      <c r="S54" s="787">
        <v>0</v>
      </c>
      <c r="T54" s="787"/>
      <c r="U54" s="787">
        <v>0</v>
      </c>
      <c r="V54" s="787"/>
      <c r="W54" s="797">
        <v>0</v>
      </c>
      <c r="X54" s="787"/>
      <c r="Y54" s="787"/>
      <c r="Z54" s="787"/>
      <c r="AA54" s="787">
        <v>0</v>
      </c>
      <c r="AB54" s="782">
        <f t="shared" si="2"/>
        <v>-35689.800000000032</v>
      </c>
      <c r="AC54" s="704"/>
      <c r="AD54" s="476">
        <f t="shared" si="5"/>
        <v>-35689.800000000032</v>
      </c>
      <c r="AE54" s="476"/>
      <c r="AF54" s="476">
        <f t="shared" si="6"/>
        <v>0</v>
      </c>
      <c r="AG54" s="537">
        <f t="shared" si="3"/>
        <v>0</v>
      </c>
      <c r="AH54" s="474">
        <f t="shared" si="4"/>
        <v>-35689.800000000032</v>
      </c>
    </row>
    <row r="55" spans="1:34" s="538" customFormat="1" x14ac:dyDescent="0.45">
      <c r="A55" s="784" t="s">
        <v>56</v>
      </c>
      <c r="B55" s="785">
        <v>473719.99999999953</v>
      </c>
      <c r="C55" s="786"/>
      <c r="D55" s="785"/>
      <c r="E55" s="793">
        <v>36440</v>
      </c>
      <c r="F55" s="793"/>
      <c r="G55" s="794">
        <v>36440</v>
      </c>
      <c r="H55" s="793"/>
      <c r="I55" s="793">
        <v>36440</v>
      </c>
      <c r="J55" s="793"/>
      <c r="K55" s="795">
        <v>0</v>
      </c>
      <c r="L55" s="795"/>
      <c r="M55" s="795">
        <v>0</v>
      </c>
      <c r="N55" s="795"/>
      <c r="O55" s="788">
        <v>0</v>
      </c>
      <c r="P55" s="787"/>
      <c r="Q55" s="787">
        <v>0</v>
      </c>
      <c r="R55" s="787"/>
      <c r="S55" s="787">
        <v>0</v>
      </c>
      <c r="T55" s="787"/>
      <c r="U55" s="787">
        <v>0</v>
      </c>
      <c r="V55" s="787"/>
      <c r="W55" s="787">
        <v>0</v>
      </c>
      <c r="X55" s="787"/>
      <c r="Y55" s="787"/>
      <c r="Z55" s="787"/>
      <c r="AA55" s="787">
        <v>0</v>
      </c>
      <c r="AB55" s="782">
        <f t="shared" si="2"/>
        <v>583039.99999999953</v>
      </c>
      <c r="AC55" s="704"/>
      <c r="AD55" s="476">
        <f t="shared" si="5"/>
        <v>473719.99999999953</v>
      </c>
      <c r="AE55" s="476"/>
      <c r="AF55" s="476">
        <f t="shared" si="6"/>
        <v>109320</v>
      </c>
      <c r="AG55" s="537">
        <f t="shared" si="3"/>
        <v>0</v>
      </c>
      <c r="AH55" s="474">
        <f t="shared" si="4"/>
        <v>583039.99999999953</v>
      </c>
    </row>
    <row r="56" spans="1:34" s="538" customFormat="1" x14ac:dyDescent="0.45">
      <c r="A56" s="784" t="s">
        <v>66</v>
      </c>
      <c r="B56" s="785">
        <v>474573.77999999997</v>
      </c>
      <c r="C56" s="786"/>
      <c r="D56" s="785"/>
      <c r="E56" s="793">
        <v>427394.37</v>
      </c>
      <c r="F56" s="793">
        <v>901968.15</v>
      </c>
      <c r="G56" s="794">
        <v>456862.7</v>
      </c>
      <c r="H56" s="793"/>
      <c r="I56" s="793">
        <v>602502.91999999993</v>
      </c>
      <c r="J56" s="793"/>
      <c r="K56" s="795">
        <v>439333.35000000003</v>
      </c>
      <c r="L56" s="795">
        <v>1059365.6200000001</v>
      </c>
      <c r="M56" s="795">
        <v>488411.25</v>
      </c>
      <c r="N56" s="795">
        <f>439333.35</f>
        <v>439333.35</v>
      </c>
      <c r="O56" s="788">
        <v>612421.64</v>
      </c>
      <c r="P56" s="787">
        <f>488411.25+612421.64</f>
        <v>1100832.8900000001</v>
      </c>
      <c r="Q56" s="787">
        <v>555442.44999999995</v>
      </c>
      <c r="R56" s="787"/>
      <c r="S56" s="787">
        <v>552606.12</v>
      </c>
      <c r="T56" s="787">
        <f>555442.45+552606.12</f>
        <v>1108048.5699999998</v>
      </c>
      <c r="U56" s="787">
        <v>470383.45</v>
      </c>
      <c r="V56" s="787"/>
      <c r="W56" s="787">
        <v>414001.15</v>
      </c>
      <c r="X56" s="787">
        <v>884384.6</v>
      </c>
      <c r="Y56" s="787">
        <v>478436.45</v>
      </c>
      <c r="Z56" s="787">
        <v>478436.45</v>
      </c>
      <c r="AA56" s="787">
        <v>469633.55000000005</v>
      </c>
      <c r="AB56" s="782">
        <f t="shared" si="2"/>
        <v>469633.55000000016</v>
      </c>
      <c r="AC56" s="704"/>
      <c r="AD56" s="476">
        <f t="shared" si="5"/>
        <v>474573.77999999997</v>
      </c>
      <c r="AE56" s="476"/>
      <c r="AF56" s="476">
        <f t="shared" si="6"/>
        <v>5967429.4000000004</v>
      </c>
      <c r="AG56" s="537">
        <f t="shared" si="3"/>
        <v>5972369.6299999999</v>
      </c>
      <c r="AH56" s="474">
        <f t="shared" si="4"/>
        <v>469633.55000000075</v>
      </c>
    </row>
    <row r="57" spans="1:34" s="538" customFormat="1" x14ac:dyDescent="0.45">
      <c r="A57" s="784" t="s">
        <v>367</v>
      </c>
      <c r="B57" s="785">
        <v>168120.98999999941</v>
      </c>
      <c r="C57" s="786"/>
      <c r="D57" s="785">
        <f>152758+15362.99</f>
        <v>168120.99</v>
      </c>
      <c r="E57" s="793">
        <v>195731.25</v>
      </c>
      <c r="F57" s="793">
        <v>195731.25</v>
      </c>
      <c r="G57" s="794">
        <v>175770.7</v>
      </c>
      <c r="H57" s="793"/>
      <c r="I57" s="793">
        <v>184438.56</v>
      </c>
      <c r="J57" s="793">
        <f>175770.7+184438.56</f>
        <v>360209.26</v>
      </c>
      <c r="K57" s="787">
        <v>176801.6</v>
      </c>
      <c r="L57" s="795">
        <v>176801.6</v>
      </c>
      <c r="M57" s="795">
        <v>177808</v>
      </c>
      <c r="N57" s="795">
        <v>177808</v>
      </c>
      <c r="O57" s="788">
        <v>179428.6</v>
      </c>
      <c r="P57" s="787">
        <v>179428.6</v>
      </c>
      <c r="Q57" s="787">
        <v>182440.8</v>
      </c>
      <c r="R57" s="787">
        <v>182440.8</v>
      </c>
      <c r="S57" s="787">
        <v>182493</v>
      </c>
      <c r="T57" s="787">
        <v>182493</v>
      </c>
      <c r="U57" s="787">
        <v>185067.7</v>
      </c>
      <c r="V57" s="787"/>
      <c r="W57" s="787">
        <v>174123.5</v>
      </c>
      <c r="X57" s="787">
        <f>185067.7+174123.5</f>
        <v>359191.2</v>
      </c>
      <c r="Y57" s="787">
        <v>185697.8</v>
      </c>
      <c r="Z57" s="787">
        <v>185697.8</v>
      </c>
      <c r="AA57" s="787">
        <v>192916.07</v>
      </c>
      <c r="AB57" s="782">
        <f t="shared" si="2"/>
        <v>192916.06999999942</v>
      </c>
      <c r="AC57" s="704"/>
      <c r="AD57" s="476">
        <f t="shared" si="5"/>
        <v>168120.98999999941</v>
      </c>
      <c r="AE57" s="476"/>
      <c r="AF57" s="476">
        <f t="shared" si="6"/>
        <v>2192717.58</v>
      </c>
      <c r="AG57" s="537">
        <f t="shared" si="3"/>
        <v>2167922.5</v>
      </c>
      <c r="AH57" s="474">
        <f t="shared" si="4"/>
        <v>192916.06999999937</v>
      </c>
    </row>
    <row r="58" spans="1:34" s="538" customFormat="1" x14ac:dyDescent="0.45">
      <c r="A58" s="784" t="s">
        <v>81</v>
      </c>
      <c r="B58" s="785">
        <v>42128.629999999968</v>
      </c>
      <c r="C58" s="786"/>
      <c r="D58" s="785">
        <v>41140.980000000003</v>
      </c>
      <c r="E58" s="793">
        <v>38042.550000000003</v>
      </c>
      <c r="F58" s="793">
        <f>38042.55</f>
        <v>38042.550000000003</v>
      </c>
      <c r="G58" s="794">
        <v>42013.3</v>
      </c>
      <c r="H58" s="793">
        <f>42013.3</f>
        <v>42013.3</v>
      </c>
      <c r="I58" s="793">
        <v>43028.72</v>
      </c>
      <c r="J58" s="793">
        <v>43028.72</v>
      </c>
      <c r="K58" s="795">
        <v>23281.200000000001</v>
      </c>
      <c r="L58" s="795"/>
      <c r="M58" s="795">
        <v>25240.400000000001</v>
      </c>
      <c r="N58" s="795">
        <f>23281.2+25240.4</f>
        <v>48521.600000000006</v>
      </c>
      <c r="O58" s="788">
        <v>25231</v>
      </c>
      <c r="P58" s="787">
        <v>25231</v>
      </c>
      <c r="Q58" s="787">
        <v>49369.1</v>
      </c>
      <c r="R58" s="787">
        <v>49369.1</v>
      </c>
      <c r="S58" s="787">
        <v>52118.3</v>
      </c>
      <c r="T58" s="787">
        <v>52118.3</v>
      </c>
      <c r="U58" s="787">
        <v>47836.7</v>
      </c>
      <c r="V58" s="787">
        <v>47836.7</v>
      </c>
      <c r="W58" s="787">
        <v>49836.1</v>
      </c>
      <c r="X58" s="787">
        <v>49836.1</v>
      </c>
      <c r="Y58" s="787">
        <v>49039.6</v>
      </c>
      <c r="Z58" s="782">
        <v>49039.6</v>
      </c>
      <c r="AA58" s="787">
        <v>52079.85</v>
      </c>
      <c r="AB58" s="782">
        <f t="shared" si="2"/>
        <v>53067.499999999964</v>
      </c>
      <c r="AC58" s="704"/>
      <c r="AD58" s="476">
        <f t="shared" si="5"/>
        <v>42128.629999999968</v>
      </c>
      <c r="AE58" s="476"/>
      <c r="AF58" s="476">
        <f t="shared" si="6"/>
        <v>497116.81999999995</v>
      </c>
      <c r="AG58" s="537">
        <f t="shared" si="3"/>
        <v>486177.94999999995</v>
      </c>
      <c r="AH58" s="474">
        <f t="shared" si="4"/>
        <v>53067.5</v>
      </c>
    </row>
    <row r="59" spans="1:34" s="538" customFormat="1" x14ac:dyDescent="0.45">
      <c r="A59" s="784" t="s">
        <v>48</v>
      </c>
      <c r="B59" s="785">
        <v>1208504.4599999995</v>
      </c>
      <c r="C59" s="786"/>
      <c r="D59" s="785"/>
      <c r="E59" s="793">
        <v>59853.63</v>
      </c>
      <c r="F59" s="793"/>
      <c r="G59" s="794">
        <v>45054.45</v>
      </c>
      <c r="H59" s="793"/>
      <c r="I59" s="793">
        <v>77317.41</v>
      </c>
      <c r="J59" s="793"/>
      <c r="K59" s="795">
        <v>64440.159999999996</v>
      </c>
      <c r="L59" s="795"/>
      <c r="M59" s="795">
        <v>61848.74</v>
      </c>
      <c r="N59" s="795"/>
      <c r="O59" s="788">
        <v>59853.63</v>
      </c>
      <c r="P59" s="787"/>
      <c r="Q59" s="787">
        <v>61848.74</v>
      </c>
      <c r="R59" s="787"/>
      <c r="S59" s="787">
        <v>59853.63</v>
      </c>
      <c r="T59" s="787"/>
      <c r="U59" s="787">
        <v>61848.74</v>
      </c>
      <c r="V59" s="787"/>
      <c r="W59" s="787">
        <v>61848.74</v>
      </c>
      <c r="X59" s="787"/>
      <c r="Y59" s="787">
        <v>55863.38</v>
      </c>
      <c r="Z59" s="787"/>
      <c r="AA59" s="787">
        <v>61848.74</v>
      </c>
      <c r="AB59" s="782">
        <f t="shared" si="2"/>
        <v>1939984.4499999988</v>
      </c>
      <c r="AC59" s="704"/>
      <c r="AD59" s="476">
        <f t="shared" si="5"/>
        <v>1208504.4599999995</v>
      </c>
      <c r="AE59" s="476"/>
      <c r="AF59" s="476">
        <f t="shared" si="6"/>
        <v>731479.99</v>
      </c>
      <c r="AG59" s="537">
        <f t="shared" si="3"/>
        <v>0</v>
      </c>
      <c r="AH59" s="474">
        <f t="shared" si="4"/>
        <v>1939984.4499999995</v>
      </c>
    </row>
    <row r="60" spans="1:34" s="538" customFormat="1" x14ac:dyDescent="0.45">
      <c r="A60" s="784" t="s">
        <v>368</v>
      </c>
      <c r="B60" s="785">
        <v>1005519.0600000028</v>
      </c>
      <c r="C60" s="786"/>
      <c r="D60" s="785"/>
      <c r="E60" s="785">
        <v>995428.2</v>
      </c>
      <c r="F60" s="785">
        <f>1005519.06+995428.2</f>
        <v>2000947.26</v>
      </c>
      <c r="G60" s="787">
        <v>888006.69000000006</v>
      </c>
      <c r="H60" s="785"/>
      <c r="I60" s="785">
        <v>1282893.5999999999</v>
      </c>
      <c r="J60" s="785">
        <v>2170900.29</v>
      </c>
      <c r="K60" s="788">
        <v>979241.06</v>
      </c>
      <c r="L60" s="788">
        <v>979241.06</v>
      </c>
      <c r="M60" s="788">
        <v>997409.77</v>
      </c>
      <c r="N60" s="788">
        <v>997409.77</v>
      </c>
      <c r="O60" s="788">
        <v>1064167.03</v>
      </c>
      <c r="P60" s="787">
        <v>1064167.03</v>
      </c>
      <c r="Q60" s="787">
        <v>1076450.94</v>
      </c>
      <c r="R60" s="787">
        <v>1076450.94</v>
      </c>
      <c r="S60" s="787">
        <v>1070322.53</v>
      </c>
      <c r="T60" s="787">
        <v>1070322.53</v>
      </c>
      <c r="U60" s="787">
        <v>1040193.44</v>
      </c>
      <c r="V60" s="787">
        <v>1040193.44</v>
      </c>
      <c r="W60" s="787">
        <v>972748.44</v>
      </c>
      <c r="X60" s="787"/>
      <c r="Y60" s="787">
        <v>992999.32000000007</v>
      </c>
      <c r="Z60" s="798"/>
      <c r="AA60" s="783">
        <v>996079.62</v>
      </c>
      <c r="AB60" s="782">
        <f t="shared" si="2"/>
        <v>2961827.3800000027</v>
      </c>
      <c r="AC60" s="704"/>
      <c r="AD60" s="476">
        <f t="shared" si="5"/>
        <v>1005519.0600000028</v>
      </c>
      <c r="AE60" s="476"/>
      <c r="AF60" s="476">
        <f t="shared" si="6"/>
        <v>12355940.640000001</v>
      </c>
      <c r="AG60" s="537">
        <f t="shared" si="3"/>
        <v>10399632.319999998</v>
      </c>
      <c r="AH60" s="474">
        <f t="shared" si="4"/>
        <v>2961827.3800000045</v>
      </c>
    </row>
    <row r="61" spans="1:34" s="538" customFormat="1" x14ac:dyDescent="0.45">
      <c r="A61" s="784" t="s">
        <v>78</v>
      </c>
      <c r="B61" s="785">
        <v>-113497.31999998927</v>
      </c>
      <c r="C61" s="786"/>
      <c r="D61" s="785"/>
      <c r="E61" s="793">
        <v>0</v>
      </c>
      <c r="F61" s="793"/>
      <c r="G61" s="794">
        <v>0</v>
      </c>
      <c r="H61" s="793"/>
      <c r="I61" s="793">
        <v>0</v>
      </c>
      <c r="J61" s="793"/>
      <c r="K61" s="795">
        <v>0</v>
      </c>
      <c r="L61" s="795"/>
      <c r="M61" s="795">
        <v>0</v>
      </c>
      <c r="N61" s="795"/>
      <c r="O61" s="788">
        <v>0</v>
      </c>
      <c r="P61" s="787"/>
      <c r="Q61" s="787">
        <v>0</v>
      </c>
      <c r="R61" s="787"/>
      <c r="S61" s="787">
        <v>0</v>
      </c>
      <c r="T61" s="787"/>
      <c r="U61" s="787">
        <v>0</v>
      </c>
      <c r="V61" s="787"/>
      <c r="W61" s="787">
        <v>0</v>
      </c>
      <c r="X61" s="787"/>
      <c r="Y61" s="787"/>
      <c r="Z61" s="787"/>
      <c r="AA61" s="787">
        <v>0</v>
      </c>
      <c r="AB61" s="782">
        <f t="shared" si="2"/>
        <v>-113497.31999998927</v>
      </c>
      <c r="AC61" s="704"/>
      <c r="AD61" s="476">
        <f t="shared" si="5"/>
        <v>-113497.31999998927</v>
      </c>
      <c r="AE61" s="476"/>
      <c r="AF61" s="476">
        <f t="shared" si="6"/>
        <v>0</v>
      </c>
      <c r="AG61" s="537">
        <f t="shared" si="3"/>
        <v>0</v>
      </c>
      <c r="AH61" s="474">
        <f t="shared" si="4"/>
        <v>-113497.31999998927</v>
      </c>
    </row>
    <row r="62" spans="1:34" s="538" customFormat="1" x14ac:dyDescent="0.45">
      <c r="A62" s="784" t="s">
        <v>190</v>
      </c>
      <c r="B62" s="785">
        <v>-265954.98</v>
      </c>
      <c r="C62" s="786"/>
      <c r="D62" s="785"/>
      <c r="E62" s="793">
        <v>0</v>
      </c>
      <c r="F62" s="793"/>
      <c r="G62" s="794">
        <v>0</v>
      </c>
      <c r="H62" s="793"/>
      <c r="I62" s="793">
        <v>0</v>
      </c>
      <c r="J62" s="793"/>
      <c r="K62" s="795">
        <v>0</v>
      </c>
      <c r="L62" s="795"/>
      <c r="M62" s="795">
        <v>0</v>
      </c>
      <c r="N62" s="795"/>
      <c r="O62" s="788">
        <v>0</v>
      </c>
      <c r="P62" s="787"/>
      <c r="Q62" s="787">
        <v>0</v>
      </c>
      <c r="R62" s="787"/>
      <c r="S62" s="787">
        <v>0</v>
      </c>
      <c r="T62" s="787"/>
      <c r="U62" s="787">
        <v>0</v>
      </c>
      <c r="V62" s="787"/>
      <c r="W62" s="787">
        <v>0</v>
      </c>
      <c r="X62" s="787"/>
      <c r="Y62" s="787"/>
      <c r="Z62" s="787"/>
      <c r="AA62" s="787">
        <v>0</v>
      </c>
      <c r="AB62" s="782">
        <f t="shared" si="2"/>
        <v>-265954.98</v>
      </c>
      <c r="AC62" s="704"/>
      <c r="AD62" s="476">
        <f t="shared" si="5"/>
        <v>-265954.98</v>
      </c>
      <c r="AE62" s="476"/>
      <c r="AF62" s="476">
        <f t="shared" si="6"/>
        <v>0</v>
      </c>
      <c r="AG62" s="537">
        <f t="shared" si="3"/>
        <v>0</v>
      </c>
      <c r="AH62" s="474">
        <f t="shared" si="4"/>
        <v>-265954.98</v>
      </c>
    </row>
    <row r="63" spans="1:34" s="538" customFormat="1" x14ac:dyDescent="0.45">
      <c r="A63" s="784" t="s">
        <v>52</v>
      </c>
      <c r="B63" s="785">
        <v>29146.34</v>
      </c>
      <c r="C63" s="786"/>
      <c r="D63" s="785"/>
      <c r="E63" s="793">
        <v>67665.09</v>
      </c>
      <c r="F63" s="793"/>
      <c r="G63" s="794">
        <v>9819.2000000000007</v>
      </c>
      <c r="H63" s="793"/>
      <c r="I63" s="793">
        <v>113889.92</v>
      </c>
      <c r="J63" s="793"/>
      <c r="K63" s="795">
        <v>78333.98</v>
      </c>
      <c r="L63" s="795"/>
      <c r="M63" s="795">
        <v>105964.3</v>
      </c>
      <c r="N63" s="795"/>
      <c r="O63" s="788">
        <v>105716.51</v>
      </c>
      <c r="P63" s="787">
        <f>77484.29+298188.2</f>
        <v>375672.49</v>
      </c>
      <c r="Q63" s="787">
        <v>99755.06</v>
      </c>
      <c r="R63" s="787"/>
      <c r="S63" s="787">
        <v>62410.57</v>
      </c>
      <c r="T63" s="787"/>
      <c r="U63" s="787">
        <v>16524.41</v>
      </c>
      <c r="V63" s="787"/>
      <c r="W63" s="787">
        <v>0</v>
      </c>
      <c r="X63" s="787"/>
      <c r="Y63" s="787"/>
      <c r="Z63" s="787"/>
      <c r="AA63" s="787">
        <v>0</v>
      </c>
      <c r="AB63" s="782">
        <f t="shared" si="2"/>
        <v>313552.88999999996</v>
      </c>
      <c r="AC63" s="704"/>
      <c r="AD63" s="476">
        <f t="shared" si="5"/>
        <v>29146.34</v>
      </c>
      <c r="AE63" s="476"/>
      <c r="AF63" s="476">
        <f t="shared" si="6"/>
        <v>660079.04</v>
      </c>
      <c r="AG63" s="537">
        <f t="shared" si="3"/>
        <v>375672.49</v>
      </c>
      <c r="AH63" s="474">
        <f t="shared" si="4"/>
        <v>313552.89</v>
      </c>
    </row>
    <row r="64" spans="1:34" s="538" customFormat="1" x14ac:dyDescent="0.45">
      <c r="A64" s="784" t="s">
        <v>55</v>
      </c>
      <c r="B64" s="785">
        <v>-221089.2</v>
      </c>
      <c r="C64" s="786"/>
      <c r="D64" s="785"/>
      <c r="E64" s="793">
        <v>0</v>
      </c>
      <c r="F64" s="793"/>
      <c r="G64" s="794">
        <v>0</v>
      </c>
      <c r="H64" s="793"/>
      <c r="I64" s="793">
        <v>0</v>
      </c>
      <c r="J64" s="793"/>
      <c r="K64" s="795">
        <v>0</v>
      </c>
      <c r="L64" s="795"/>
      <c r="M64" s="795">
        <v>0</v>
      </c>
      <c r="N64" s="795"/>
      <c r="O64" s="788">
        <v>0</v>
      </c>
      <c r="P64" s="787"/>
      <c r="Q64" s="787">
        <v>0</v>
      </c>
      <c r="R64" s="787"/>
      <c r="S64" s="787">
        <v>0</v>
      </c>
      <c r="T64" s="787"/>
      <c r="U64" s="787">
        <v>0</v>
      </c>
      <c r="V64" s="787"/>
      <c r="W64" s="787">
        <v>0</v>
      </c>
      <c r="X64" s="787"/>
      <c r="Y64" s="787"/>
      <c r="Z64" s="787"/>
      <c r="AA64" s="787">
        <v>0</v>
      </c>
      <c r="AB64" s="782">
        <f t="shared" si="2"/>
        <v>-221089.2</v>
      </c>
      <c r="AC64" s="704"/>
      <c r="AD64" s="476">
        <f t="shared" si="5"/>
        <v>-221089.2</v>
      </c>
      <c r="AE64" s="476"/>
      <c r="AF64" s="476">
        <f t="shared" si="6"/>
        <v>0</v>
      </c>
      <c r="AG64" s="537">
        <f t="shared" si="3"/>
        <v>0</v>
      </c>
      <c r="AH64" s="474">
        <f t="shared" si="4"/>
        <v>-221089.2</v>
      </c>
    </row>
    <row r="65" spans="1:34" s="538" customFormat="1" x14ac:dyDescent="0.45">
      <c r="A65" s="784" t="s">
        <v>45</v>
      </c>
      <c r="B65" s="785">
        <v>1787517.8483000002</v>
      </c>
      <c r="C65" s="786"/>
      <c r="D65" s="785"/>
      <c r="E65" s="793">
        <v>86406.02</v>
      </c>
      <c r="F65" s="793"/>
      <c r="G65" s="794">
        <v>85297.790000000008</v>
      </c>
      <c r="H65" s="793"/>
      <c r="I65" s="793">
        <v>94625.42</v>
      </c>
      <c r="J65" s="793"/>
      <c r="K65" s="795">
        <v>83570.59</v>
      </c>
      <c r="L65" s="795">
        <v>85297.79</v>
      </c>
      <c r="M65" s="795">
        <v>90747.390000000014</v>
      </c>
      <c r="N65" s="795">
        <v>86406.02</v>
      </c>
      <c r="O65" s="788">
        <v>84221.42</v>
      </c>
      <c r="P65" s="787"/>
      <c r="Q65" s="787">
        <v>89960.19</v>
      </c>
      <c r="R65" s="787">
        <f>84221.42+178196.01</f>
        <v>262417.43</v>
      </c>
      <c r="S65" s="787">
        <v>271490.12</v>
      </c>
      <c r="T65" s="787">
        <v>180707.58</v>
      </c>
      <c r="U65" s="787">
        <v>91533.99</v>
      </c>
      <c r="V65" s="787"/>
      <c r="W65" s="787">
        <v>98212.49</v>
      </c>
      <c r="X65" s="787">
        <v>1549770.08</v>
      </c>
      <c r="Y65" s="787">
        <v>81819.89</v>
      </c>
      <c r="Z65" s="787"/>
      <c r="AA65" s="787">
        <v>97153.71</v>
      </c>
      <c r="AB65" s="782">
        <f t="shared" si="2"/>
        <v>877957.96830000018</v>
      </c>
      <c r="AC65" s="704"/>
      <c r="AD65" s="476">
        <f t="shared" si="5"/>
        <v>1787517.8483000002</v>
      </c>
      <c r="AE65" s="476"/>
      <c r="AF65" s="476">
        <f t="shared" si="6"/>
        <v>1255039.02</v>
      </c>
      <c r="AG65" s="537">
        <f t="shared" si="3"/>
        <v>2164598.9</v>
      </c>
      <c r="AH65" s="474">
        <f t="shared" si="4"/>
        <v>877957.9683000003</v>
      </c>
    </row>
    <row r="66" spans="1:34" s="538" customFormat="1" x14ac:dyDescent="0.45">
      <c r="A66" s="784" t="s">
        <v>191</v>
      </c>
      <c r="B66" s="785">
        <v>-29297.360000000015</v>
      </c>
      <c r="C66" s="786"/>
      <c r="D66" s="785"/>
      <c r="E66" s="793">
        <v>0</v>
      </c>
      <c r="F66" s="793"/>
      <c r="G66" s="794">
        <v>0</v>
      </c>
      <c r="H66" s="793"/>
      <c r="I66" s="793">
        <v>0</v>
      </c>
      <c r="J66" s="793"/>
      <c r="K66" s="795">
        <v>0</v>
      </c>
      <c r="L66" s="795"/>
      <c r="M66" s="795">
        <v>0</v>
      </c>
      <c r="N66" s="795"/>
      <c r="O66" s="788">
        <v>0</v>
      </c>
      <c r="P66" s="787"/>
      <c r="Q66" s="787">
        <v>0</v>
      </c>
      <c r="R66" s="787"/>
      <c r="S66" s="787">
        <v>0</v>
      </c>
      <c r="T66" s="787"/>
      <c r="U66" s="787">
        <v>0</v>
      </c>
      <c r="V66" s="787"/>
      <c r="W66" s="787">
        <v>0</v>
      </c>
      <c r="X66" s="787"/>
      <c r="Y66" s="787"/>
      <c r="Z66" s="787"/>
      <c r="AA66" s="787">
        <v>0</v>
      </c>
      <c r="AB66" s="782">
        <f t="shared" si="2"/>
        <v>-29297.360000000015</v>
      </c>
      <c r="AC66" s="704"/>
      <c r="AD66" s="476">
        <f t="shared" si="5"/>
        <v>-29297.360000000015</v>
      </c>
      <c r="AE66" s="476"/>
      <c r="AF66" s="476">
        <f t="shared" si="6"/>
        <v>0</v>
      </c>
      <c r="AG66" s="537">
        <f t="shared" si="3"/>
        <v>0</v>
      </c>
      <c r="AH66" s="474">
        <f t="shared" si="4"/>
        <v>-29297.360000000015</v>
      </c>
    </row>
    <row r="67" spans="1:34" s="538" customFormat="1" x14ac:dyDescent="0.45">
      <c r="A67" s="784" t="s">
        <v>309</v>
      </c>
      <c r="B67" s="799">
        <v>32546.09</v>
      </c>
      <c r="C67" s="786"/>
      <c r="D67" s="785">
        <v>32546.09</v>
      </c>
      <c r="E67" s="793">
        <v>23902.19</v>
      </c>
      <c r="F67" s="793">
        <v>23902.19</v>
      </c>
      <c r="G67" s="794">
        <v>36956.410000000003</v>
      </c>
      <c r="H67" s="793">
        <v>36956.410000000003</v>
      </c>
      <c r="I67" s="793">
        <v>43243.25</v>
      </c>
      <c r="J67" s="793">
        <f>43243.25</f>
        <v>43243.25</v>
      </c>
      <c r="K67" s="795">
        <v>23324.15</v>
      </c>
      <c r="L67" s="795">
        <v>23324.15</v>
      </c>
      <c r="M67" s="795">
        <v>2715.3</v>
      </c>
      <c r="N67" s="795">
        <v>2715.3</v>
      </c>
      <c r="O67" s="788">
        <v>5926.2199999999993</v>
      </c>
      <c r="P67" s="787">
        <v>5926.22</v>
      </c>
      <c r="Q67" s="787">
        <v>41772.270000000004</v>
      </c>
      <c r="R67" s="787">
        <v>41772.269999999997</v>
      </c>
      <c r="S67" s="787">
        <v>65983.320000000007</v>
      </c>
      <c r="T67" s="787">
        <v>65983.320000000007</v>
      </c>
      <c r="U67" s="787">
        <v>75561.19</v>
      </c>
      <c r="V67" s="787">
        <v>75561.19</v>
      </c>
      <c r="W67" s="787">
        <v>108552.70999999999</v>
      </c>
      <c r="X67" s="787">
        <f>108552.71</f>
        <v>108552.71</v>
      </c>
      <c r="Y67" s="787">
        <v>72661.260000000009</v>
      </c>
      <c r="Z67" s="787">
        <v>72661.259999999995</v>
      </c>
      <c r="AA67" s="787">
        <v>82720.73</v>
      </c>
      <c r="AB67" s="782">
        <f t="shared" si="2"/>
        <v>82720.73</v>
      </c>
      <c r="AC67" s="704"/>
      <c r="AD67" s="476">
        <f t="shared" si="5"/>
        <v>32546.09</v>
      </c>
      <c r="AE67" s="476"/>
      <c r="AF67" s="476">
        <f t="shared" si="6"/>
        <v>583319</v>
      </c>
      <c r="AG67" s="537">
        <f t="shared" si="3"/>
        <v>533144.36</v>
      </c>
      <c r="AH67" s="474">
        <f t="shared" si="4"/>
        <v>82720.729999999981</v>
      </c>
    </row>
    <row r="68" spans="1:34" s="538" customFormat="1" x14ac:dyDescent="0.45">
      <c r="A68" s="784" t="s">
        <v>197</v>
      </c>
      <c r="B68" s="785">
        <v>-2.9103830456733704E-11</v>
      </c>
      <c r="C68" s="786"/>
      <c r="D68" s="785"/>
      <c r="E68" s="793">
        <v>0</v>
      </c>
      <c r="F68" s="793"/>
      <c r="G68" s="794">
        <v>0</v>
      </c>
      <c r="H68" s="793"/>
      <c r="I68" s="793">
        <v>0</v>
      </c>
      <c r="J68" s="793"/>
      <c r="K68" s="795">
        <v>0</v>
      </c>
      <c r="L68" s="795"/>
      <c r="M68" s="795">
        <v>0</v>
      </c>
      <c r="N68" s="795"/>
      <c r="O68" s="788">
        <v>0</v>
      </c>
      <c r="P68" s="787"/>
      <c r="Q68" s="787">
        <v>0</v>
      </c>
      <c r="R68" s="787"/>
      <c r="S68" s="787">
        <v>0</v>
      </c>
      <c r="T68" s="787"/>
      <c r="U68" s="787">
        <v>0</v>
      </c>
      <c r="V68" s="787"/>
      <c r="W68" s="787">
        <v>0</v>
      </c>
      <c r="X68" s="787"/>
      <c r="Y68" s="787"/>
      <c r="Z68" s="787"/>
      <c r="AA68" s="787">
        <v>0</v>
      </c>
      <c r="AB68" s="782">
        <f t="shared" si="2"/>
        <v>-2.9103830456733704E-11</v>
      </c>
      <c r="AC68" s="704"/>
      <c r="AD68" s="476">
        <f t="shared" si="5"/>
        <v>-2.9103830456733704E-11</v>
      </c>
      <c r="AE68" s="476"/>
      <c r="AF68" s="476">
        <f t="shared" si="6"/>
        <v>0</v>
      </c>
      <c r="AG68" s="537">
        <f t="shared" si="3"/>
        <v>0</v>
      </c>
      <c r="AH68" s="474">
        <f t="shared" si="4"/>
        <v>-2.9103830456733704E-11</v>
      </c>
    </row>
    <row r="69" spans="1:34" s="538" customFormat="1" x14ac:dyDescent="0.45">
      <c r="A69" s="784" t="s">
        <v>80</v>
      </c>
      <c r="B69" s="785">
        <v>-2184.6839999999829</v>
      </c>
      <c r="C69" s="786"/>
      <c r="D69" s="785"/>
      <c r="E69" s="793">
        <v>0</v>
      </c>
      <c r="F69" s="793"/>
      <c r="G69" s="800">
        <v>0</v>
      </c>
      <c r="H69" s="793"/>
      <c r="I69" s="793">
        <v>0</v>
      </c>
      <c r="J69" s="793"/>
      <c r="K69" s="795">
        <v>0</v>
      </c>
      <c r="L69" s="795"/>
      <c r="M69" s="795">
        <v>0</v>
      </c>
      <c r="N69" s="795"/>
      <c r="O69" s="788">
        <v>0</v>
      </c>
      <c r="P69" s="787"/>
      <c r="Q69" s="787">
        <v>0</v>
      </c>
      <c r="R69" s="787"/>
      <c r="S69" s="787">
        <v>0</v>
      </c>
      <c r="T69" s="787"/>
      <c r="U69" s="787">
        <v>0</v>
      </c>
      <c r="V69" s="787"/>
      <c r="W69" s="787">
        <v>0</v>
      </c>
      <c r="X69" s="787"/>
      <c r="Y69" s="787"/>
      <c r="Z69" s="787"/>
      <c r="AA69" s="787">
        <v>0</v>
      </c>
      <c r="AB69" s="782">
        <f t="shared" si="2"/>
        <v>-2184.6839999999829</v>
      </c>
      <c r="AC69" s="704"/>
      <c r="AD69" s="476">
        <f t="shared" si="5"/>
        <v>-2184.6839999999829</v>
      </c>
      <c r="AE69" s="476"/>
      <c r="AF69" s="476">
        <f t="shared" si="6"/>
        <v>0</v>
      </c>
      <c r="AG69" s="537">
        <f t="shared" si="3"/>
        <v>0</v>
      </c>
      <c r="AH69" s="474">
        <f t="shared" si="4"/>
        <v>-2184.6839999999829</v>
      </c>
    </row>
    <row r="70" spans="1:34" s="538" customFormat="1" x14ac:dyDescent="0.45">
      <c r="A70" s="801" t="s">
        <v>76</v>
      </c>
      <c r="B70" s="785">
        <v>-6676.2799999998833</v>
      </c>
      <c r="C70" s="802"/>
      <c r="D70" s="803"/>
      <c r="E70" s="785">
        <v>0</v>
      </c>
      <c r="F70" s="785"/>
      <c r="G70" s="787">
        <v>0</v>
      </c>
      <c r="H70" s="793"/>
      <c r="I70" s="804">
        <v>0</v>
      </c>
      <c r="J70" s="793"/>
      <c r="K70" s="795">
        <v>0</v>
      </c>
      <c r="L70" s="805"/>
      <c r="M70" s="795">
        <v>0</v>
      </c>
      <c r="N70" s="795"/>
      <c r="O70" s="788">
        <v>0</v>
      </c>
      <c r="P70" s="787"/>
      <c r="Q70" s="787">
        <v>0</v>
      </c>
      <c r="R70" s="787"/>
      <c r="S70" s="787">
        <v>0</v>
      </c>
      <c r="T70" s="787"/>
      <c r="U70" s="787">
        <v>0</v>
      </c>
      <c r="V70" s="787"/>
      <c r="W70" s="787">
        <v>0</v>
      </c>
      <c r="X70" s="787"/>
      <c r="Y70" s="787"/>
      <c r="Z70" s="787"/>
      <c r="AA70" s="787">
        <v>0</v>
      </c>
      <c r="AB70" s="782">
        <f t="shared" si="2"/>
        <v>-6676.2799999998833</v>
      </c>
      <c r="AC70" s="704"/>
      <c r="AD70" s="476">
        <f t="shared" ref="AD70:AD101" si="7">B70</f>
        <v>-6676.2799999998833</v>
      </c>
      <c r="AE70" s="476"/>
      <c r="AF70" s="476">
        <f t="shared" ref="AF70:AF101" si="8">E70+G70+I70+K70+M70+O70+Q70+S70+U70+W70+Y70+AA70</f>
        <v>0</v>
      </c>
      <c r="AG70" s="537">
        <f t="shared" si="3"/>
        <v>0</v>
      </c>
      <c r="AH70" s="474">
        <f t="shared" si="4"/>
        <v>-6676.2799999998833</v>
      </c>
    </row>
    <row r="71" spans="1:34" s="538" customFormat="1" x14ac:dyDescent="0.45">
      <c r="A71" s="806" t="s">
        <v>61</v>
      </c>
      <c r="B71" s="785">
        <v>942220.00999999978</v>
      </c>
      <c r="C71" s="802"/>
      <c r="D71" s="803"/>
      <c r="E71" s="803">
        <v>204053.03</v>
      </c>
      <c r="F71" s="807">
        <f>201022.73+357513.27</f>
        <v>558536</v>
      </c>
      <c r="G71" s="808">
        <v>211558.01</v>
      </c>
      <c r="H71" s="804">
        <f>204053.03</f>
        <v>204053.03</v>
      </c>
      <c r="I71" s="803">
        <v>227573.34999999998</v>
      </c>
      <c r="J71" s="804"/>
      <c r="K71" s="795">
        <v>204553.21</v>
      </c>
      <c r="L71" s="795">
        <v>643684.57000000007</v>
      </c>
      <c r="M71" s="795">
        <v>211869.81</v>
      </c>
      <c r="N71" s="795">
        <f>211869.81</f>
        <v>211869.81</v>
      </c>
      <c r="O71" s="788">
        <v>216787.17</v>
      </c>
      <c r="P71" s="787">
        <f>216837.17</f>
        <v>216837.17</v>
      </c>
      <c r="Q71" s="787">
        <v>220363.81</v>
      </c>
      <c r="R71" s="787"/>
      <c r="S71" s="787">
        <v>223650.87</v>
      </c>
      <c r="T71" s="787">
        <v>220363.81</v>
      </c>
      <c r="U71" s="787">
        <v>214354.20999999996</v>
      </c>
      <c r="V71" s="787"/>
      <c r="W71" s="787">
        <v>205643.21000000002</v>
      </c>
      <c r="X71" s="787"/>
      <c r="Y71" s="787">
        <v>232218</v>
      </c>
      <c r="Z71" s="796"/>
      <c r="AA71" s="787">
        <v>234534.99</v>
      </c>
      <c r="AB71" s="782">
        <f t="shared" ref="AB71:AB111" si="9">B71-C71-D71+E71-F71+G71-H71+I71-J71+K71-L71+M71-N71+O71-P71+Q71-R71+S71-T71+U71-V71+W71-X71+Y71-Z71+AA71</f>
        <v>1494035.2899999996</v>
      </c>
      <c r="AC71" s="704"/>
      <c r="AD71" s="476">
        <f t="shared" si="7"/>
        <v>942220.00999999978</v>
      </c>
      <c r="AE71" s="476"/>
      <c r="AF71" s="476">
        <f t="shared" si="8"/>
        <v>2607159.67</v>
      </c>
      <c r="AG71" s="537">
        <f t="shared" ref="AG71:AG111" si="10">D71+F71+H71+J71+L71+N71+P71+R71+T71+V71+X71+Z71</f>
        <v>2055344.3900000001</v>
      </c>
      <c r="AH71" s="474">
        <f t="shared" ref="AH71:AH112" si="11">AD71-AE71+AF71-AG71</f>
        <v>1494035.2899999996</v>
      </c>
    </row>
    <row r="72" spans="1:34" s="538" customFormat="1" x14ac:dyDescent="0.45">
      <c r="A72" s="806" t="s">
        <v>70</v>
      </c>
      <c r="B72" s="785">
        <v>3876622.72</v>
      </c>
      <c r="C72" s="802"/>
      <c r="D72" s="803">
        <v>3458724.26</v>
      </c>
      <c r="E72" s="803">
        <v>339309.50999999995</v>
      </c>
      <c r="F72" s="803"/>
      <c r="G72" s="809">
        <v>309618.53999999998</v>
      </c>
      <c r="H72" s="803"/>
      <c r="I72" s="803">
        <v>512862.33999999997</v>
      </c>
      <c r="J72" s="785"/>
      <c r="K72" s="795">
        <v>384929.17</v>
      </c>
      <c r="L72" s="795"/>
      <c r="M72" s="795">
        <v>380067.13</v>
      </c>
      <c r="N72" s="795">
        <v>1066826.51</v>
      </c>
      <c r="O72" s="788">
        <v>371843.58999999997</v>
      </c>
      <c r="P72" s="787"/>
      <c r="Q72" s="787">
        <v>402657.03</v>
      </c>
      <c r="R72" s="787">
        <v>2052359.26</v>
      </c>
      <c r="S72" s="787">
        <v>395036.95</v>
      </c>
      <c r="T72" s="787">
        <v>395036.95</v>
      </c>
      <c r="U72" s="787">
        <v>382797.62</v>
      </c>
      <c r="V72" s="787">
        <v>382797.62</v>
      </c>
      <c r="W72" s="787">
        <v>377509.5</v>
      </c>
      <c r="X72" s="787">
        <v>377509.5</v>
      </c>
      <c r="Y72" s="787">
        <v>395736.89999999997</v>
      </c>
      <c r="Z72" s="787">
        <v>395736.9</v>
      </c>
      <c r="AA72" s="787">
        <v>340819.67000000004</v>
      </c>
      <c r="AB72" s="782">
        <f t="shared" si="9"/>
        <v>340819.67000000045</v>
      </c>
      <c r="AC72" s="704"/>
      <c r="AD72" s="476">
        <f t="shared" si="7"/>
        <v>3876622.72</v>
      </c>
      <c r="AE72" s="476"/>
      <c r="AF72" s="476">
        <f t="shared" si="8"/>
        <v>4593187.95</v>
      </c>
      <c r="AG72" s="537">
        <f t="shared" si="10"/>
        <v>8128991</v>
      </c>
      <c r="AH72" s="474">
        <f t="shared" si="11"/>
        <v>340819.66999999993</v>
      </c>
    </row>
    <row r="73" spans="1:34" s="538" customFormat="1" x14ac:dyDescent="0.45">
      <c r="A73" s="643" t="s">
        <v>58</v>
      </c>
      <c r="B73" s="779">
        <v>726802.0299999977</v>
      </c>
      <c r="C73" s="810"/>
      <c r="D73" s="811">
        <v>726802.03</v>
      </c>
      <c r="E73" s="811">
        <v>689676.44</v>
      </c>
      <c r="F73" s="811"/>
      <c r="G73" s="812">
        <v>682102.39999999991</v>
      </c>
      <c r="H73" s="811">
        <f>689676.44</f>
        <v>689676.44</v>
      </c>
      <c r="I73" s="811">
        <v>752700.19</v>
      </c>
      <c r="J73" s="811">
        <f>682102.4</f>
        <v>682102.4</v>
      </c>
      <c r="K73" s="813">
        <v>635018.19999999995</v>
      </c>
      <c r="L73" s="779">
        <v>1387718.39</v>
      </c>
      <c r="M73" s="779">
        <v>718570.96</v>
      </c>
      <c r="N73" s="814">
        <v>718570.96</v>
      </c>
      <c r="O73" s="782">
        <v>723613.5</v>
      </c>
      <c r="P73" s="781">
        <v>723613.5</v>
      </c>
      <c r="Q73" s="781">
        <v>706280.5</v>
      </c>
      <c r="R73" s="781">
        <v>706280.5</v>
      </c>
      <c r="S73" s="781">
        <v>739954.86</v>
      </c>
      <c r="T73" s="781">
        <v>739954.86</v>
      </c>
      <c r="U73" s="781">
        <v>686333.74</v>
      </c>
      <c r="V73" s="781">
        <v>686333.74</v>
      </c>
      <c r="W73" s="781">
        <v>638390.4</v>
      </c>
      <c r="X73" s="781">
        <v>638390.4</v>
      </c>
      <c r="Y73" s="781">
        <v>748278.1</v>
      </c>
      <c r="Z73" s="781">
        <v>748278.1</v>
      </c>
      <c r="AA73" s="781">
        <v>733682.90999999992</v>
      </c>
      <c r="AB73" s="782">
        <f t="shared" si="9"/>
        <v>733682.90999999736</v>
      </c>
      <c r="AC73" s="704"/>
      <c r="AD73" s="476">
        <f t="shared" si="7"/>
        <v>726802.0299999977</v>
      </c>
      <c r="AE73" s="476"/>
      <c r="AF73" s="476">
        <f t="shared" si="8"/>
        <v>8454602.1999999993</v>
      </c>
      <c r="AG73" s="537">
        <f t="shared" si="10"/>
        <v>8447721.3200000003</v>
      </c>
      <c r="AH73" s="474">
        <f t="shared" si="11"/>
        <v>733682.90999999642</v>
      </c>
    </row>
    <row r="74" spans="1:34" s="538" customFormat="1" x14ac:dyDescent="0.45">
      <c r="A74" s="806" t="s">
        <v>194</v>
      </c>
      <c r="B74" s="785">
        <v>-115236.29000000001</v>
      </c>
      <c r="C74" s="802"/>
      <c r="D74" s="803"/>
      <c r="E74" s="803">
        <v>0</v>
      </c>
      <c r="F74" s="803"/>
      <c r="G74" s="809">
        <v>0</v>
      </c>
      <c r="H74" s="803"/>
      <c r="I74" s="803">
        <v>0</v>
      </c>
      <c r="J74" s="803"/>
      <c r="K74" s="807">
        <v>0</v>
      </c>
      <c r="L74" s="815"/>
      <c r="M74" s="803">
        <v>0</v>
      </c>
      <c r="N74" s="816"/>
      <c r="O74" s="788">
        <v>0</v>
      </c>
      <c r="P74" s="787"/>
      <c r="Q74" s="787">
        <v>0</v>
      </c>
      <c r="R74" s="787"/>
      <c r="S74" s="787">
        <v>0</v>
      </c>
      <c r="T74" s="787"/>
      <c r="U74" s="787">
        <v>0</v>
      </c>
      <c r="V74" s="787"/>
      <c r="W74" s="787">
        <v>0</v>
      </c>
      <c r="X74" s="787"/>
      <c r="Y74" s="787"/>
      <c r="Z74" s="787"/>
      <c r="AA74" s="787">
        <v>0</v>
      </c>
      <c r="AB74" s="782">
        <f t="shared" si="9"/>
        <v>-115236.29000000001</v>
      </c>
      <c r="AC74" s="704"/>
      <c r="AD74" s="476">
        <f t="shared" si="7"/>
        <v>-115236.29000000001</v>
      </c>
      <c r="AE74" s="476"/>
      <c r="AF74" s="476">
        <f t="shared" si="8"/>
        <v>0</v>
      </c>
      <c r="AG74" s="537">
        <f t="shared" si="10"/>
        <v>0</v>
      </c>
      <c r="AH74" s="474">
        <f t="shared" si="11"/>
        <v>-115236.29000000001</v>
      </c>
    </row>
    <row r="75" spans="1:34" s="538" customFormat="1" x14ac:dyDescent="0.45">
      <c r="A75" s="806" t="s">
        <v>27</v>
      </c>
      <c r="B75" s="785">
        <v>673288.95999999868</v>
      </c>
      <c r="C75" s="802"/>
      <c r="D75" s="803"/>
      <c r="E75" s="803">
        <v>39873</v>
      </c>
      <c r="F75" s="803"/>
      <c r="G75" s="809">
        <v>40473.49</v>
      </c>
      <c r="H75" s="803"/>
      <c r="I75" s="785">
        <v>39873</v>
      </c>
      <c r="J75" s="803"/>
      <c r="K75" s="803">
        <v>40473.490000000005</v>
      </c>
      <c r="L75" s="803"/>
      <c r="M75" s="803">
        <v>40473.490000000005</v>
      </c>
      <c r="N75" s="803"/>
      <c r="O75" s="788">
        <v>39873</v>
      </c>
      <c r="P75" s="787"/>
      <c r="Q75" s="787">
        <v>40473.490000000005</v>
      </c>
      <c r="R75" s="787"/>
      <c r="S75" s="787">
        <v>39873</v>
      </c>
      <c r="T75" s="787"/>
      <c r="U75" s="787">
        <v>40473.490000000005</v>
      </c>
      <c r="V75" s="787"/>
      <c r="W75" s="787">
        <v>40473.490000000005</v>
      </c>
      <c r="X75" s="787"/>
      <c r="Y75" s="787">
        <v>38671.990000000005</v>
      </c>
      <c r="Z75" s="787"/>
      <c r="AA75" s="787">
        <v>40473.490000000005</v>
      </c>
      <c r="AB75" s="782">
        <f t="shared" si="9"/>
        <v>1154767.3799999987</v>
      </c>
      <c r="AC75" s="704"/>
      <c r="AD75" s="476">
        <f t="shared" si="7"/>
        <v>673288.95999999868</v>
      </c>
      <c r="AE75" s="476"/>
      <c r="AF75" s="476">
        <f t="shared" si="8"/>
        <v>481478.41999999993</v>
      </c>
      <c r="AG75" s="537">
        <f t="shared" si="10"/>
        <v>0</v>
      </c>
      <c r="AH75" s="474">
        <f t="shared" si="11"/>
        <v>1154767.3799999985</v>
      </c>
    </row>
    <row r="76" spans="1:34" s="538" customFormat="1" x14ac:dyDescent="0.45">
      <c r="A76" s="801" t="s">
        <v>340</v>
      </c>
      <c r="B76" s="785">
        <v>690089.34200000018</v>
      </c>
      <c r="C76" s="786"/>
      <c r="D76" s="785">
        <v>690089.34</v>
      </c>
      <c r="E76" s="785">
        <v>685892.11</v>
      </c>
      <c r="F76" s="785"/>
      <c r="G76" s="787">
        <v>773454.3</v>
      </c>
      <c r="H76" s="785"/>
      <c r="I76" s="785">
        <v>1125483.4999999998</v>
      </c>
      <c r="J76" s="785">
        <f>773454.3+685892.11</f>
        <v>1459346.4100000001</v>
      </c>
      <c r="K76" s="789">
        <v>925901.8</v>
      </c>
      <c r="L76" s="785">
        <v>2051385.3</v>
      </c>
      <c r="M76" s="785">
        <v>790642.8</v>
      </c>
      <c r="N76" s="785">
        <v>790642.8</v>
      </c>
      <c r="O76" s="788">
        <v>973075.7</v>
      </c>
      <c r="P76" s="787">
        <v>973075.7</v>
      </c>
      <c r="Q76" s="787">
        <v>987533.8</v>
      </c>
      <c r="R76" s="787">
        <v>987533.8</v>
      </c>
      <c r="S76" s="787">
        <v>1018350</v>
      </c>
      <c r="T76" s="787">
        <v>1018350</v>
      </c>
      <c r="U76" s="787">
        <v>966590.8</v>
      </c>
      <c r="V76" s="787">
        <v>966590.8</v>
      </c>
      <c r="W76" s="787">
        <v>903614</v>
      </c>
      <c r="X76" s="787">
        <v>903614</v>
      </c>
      <c r="Y76" s="787">
        <v>1034235.2</v>
      </c>
      <c r="Z76" s="787">
        <v>1034235.2</v>
      </c>
      <c r="AA76" s="787">
        <v>1059401.32</v>
      </c>
      <c r="AB76" s="782">
        <f t="shared" si="9"/>
        <v>1059401.3219999999</v>
      </c>
      <c r="AC76" s="704"/>
      <c r="AD76" s="476">
        <f t="shared" si="7"/>
        <v>690089.34200000018</v>
      </c>
      <c r="AE76" s="476"/>
      <c r="AF76" s="476">
        <f t="shared" si="8"/>
        <v>11244175.329999998</v>
      </c>
      <c r="AG76" s="537">
        <f t="shared" si="10"/>
        <v>10874863.35</v>
      </c>
      <c r="AH76" s="474">
        <f t="shared" si="11"/>
        <v>1059401.3219999988</v>
      </c>
    </row>
    <row r="77" spans="1:34" s="538" customFormat="1" x14ac:dyDescent="0.45">
      <c r="A77" s="801" t="s">
        <v>341</v>
      </c>
      <c r="B77" s="785">
        <v>11516277.346000005</v>
      </c>
      <c r="C77" s="786"/>
      <c r="D77" s="785">
        <v>2426003.87</v>
      </c>
      <c r="E77" s="785">
        <v>5335592.8900000006</v>
      </c>
      <c r="F77" s="785">
        <v>4509282.0299999993</v>
      </c>
      <c r="G77" s="787">
        <v>5446280.0600000005</v>
      </c>
      <c r="H77" s="785">
        <f>136692.02+839298.73+60616.48+148021.52+338270.79+310890.79+101559.71+184458.6+917979.95</f>
        <v>3037788.59</v>
      </c>
      <c r="I77" s="803">
        <v>6139955.7999999998</v>
      </c>
      <c r="J77" s="785">
        <v>8684876.4499999993</v>
      </c>
      <c r="K77" s="785">
        <v>5519083.5700000003</v>
      </c>
      <c r="L77" s="785">
        <v>7157402.2299999995</v>
      </c>
      <c r="M77" s="785">
        <v>5726317.7600000007</v>
      </c>
      <c r="N77" s="785">
        <f>347327.71+1175302.5+787894.18+67627.6+481002.54+249977.46+1279225.13+304148.23+597989.55+301146.67</f>
        <v>5591641.5699999994</v>
      </c>
      <c r="O77" s="788">
        <v>6196288.5999999996</v>
      </c>
      <c r="P77" s="787">
        <v>4468652.080000001</v>
      </c>
      <c r="Q77" s="787">
        <v>6120461.0700000003</v>
      </c>
      <c r="R77" s="787">
        <v>5825314.0599999996</v>
      </c>
      <c r="S77" s="787">
        <v>6267352.9100000001</v>
      </c>
      <c r="T77" s="787">
        <f>1004806.8+3349915.84+775075.9+551427.99+75545+392397.42+327196.29+1002845.31</f>
        <v>7479210.5500000007</v>
      </c>
      <c r="U77" s="787">
        <v>5973576.8999999994</v>
      </c>
      <c r="V77" s="787">
        <v>5700530.4799999995</v>
      </c>
      <c r="W77" s="787">
        <v>6777456.0800000001</v>
      </c>
      <c r="X77" s="787">
        <v>5973534.5599999996</v>
      </c>
      <c r="Y77" s="787">
        <v>6126022.3300000001</v>
      </c>
      <c r="Z77" s="787">
        <v>15547174.119999997</v>
      </c>
      <c r="AA77" s="787">
        <v>7107452.3900000006</v>
      </c>
      <c r="AB77" s="782">
        <f t="shared" si="9"/>
        <v>7850707.1160000097</v>
      </c>
      <c r="AC77" s="704"/>
      <c r="AD77" s="476">
        <f t="shared" si="7"/>
        <v>11516277.346000005</v>
      </c>
      <c r="AE77" s="476"/>
      <c r="AF77" s="476">
        <f t="shared" si="8"/>
        <v>72735840.359999985</v>
      </c>
      <c r="AG77" s="537">
        <f t="shared" si="10"/>
        <v>76401410.590000004</v>
      </c>
      <c r="AH77" s="474">
        <f t="shared" si="11"/>
        <v>7850707.1159999818</v>
      </c>
    </row>
    <row r="78" spans="1:34" s="538" customFormat="1" x14ac:dyDescent="0.45">
      <c r="A78" s="806" t="s">
        <v>342</v>
      </c>
      <c r="B78" s="785">
        <v>1836.0499999999745</v>
      </c>
      <c r="C78" s="786"/>
      <c r="D78" s="785"/>
      <c r="E78" s="785">
        <v>0</v>
      </c>
      <c r="F78" s="785"/>
      <c r="G78" s="787">
        <v>0</v>
      </c>
      <c r="H78" s="785"/>
      <c r="I78" s="785">
        <v>0</v>
      </c>
      <c r="J78" s="803"/>
      <c r="K78" s="803">
        <v>0</v>
      </c>
      <c r="L78" s="803"/>
      <c r="M78" s="803">
        <v>0</v>
      </c>
      <c r="N78" s="803"/>
      <c r="O78" s="788">
        <v>0</v>
      </c>
      <c r="P78" s="787"/>
      <c r="Q78" s="787">
        <v>16610.34</v>
      </c>
      <c r="R78" s="787"/>
      <c r="S78" s="787">
        <v>0</v>
      </c>
      <c r="T78" s="787"/>
      <c r="U78" s="787">
        <v>0</v>
      </c>
      <c r="V78" s="787"/>
      <c r="W78" s="787">
        <v>0</v>
      </c>
      <c r="X78" s="787"/>
      <c r="Y78" s="787"/>
      <c r="Z78" s="796"/>
      <c r="AA78" s="787">
        <v>0</v>
      </c>
      <c r="AB78" s="782">
        <f t="shared" si="9"/>
        <v>18446.389999999974</v>
      </c>
      <c r="AC78" s="704"/>
      <c r="AD78" s="476">
        <f t="shared" si="7"/>
        <v>1836.0499999999745</v>
      </c>
      <c r="AE78" s="476"/>
      <c r="AF78" s="476">
        <f t="shared" si="8"/>
        <v>16610.34</v>
      </c>
      <c r="AG78" s="537">
        <f t="shared" si="10"/>
        <v>0</v>
      </c>
      <c r="AH78" s="474">
        <f t="shared" si="11"/>
        <v>18446.389999999974</v>
      </c>
    </row>
    <row r="79" spans="1:34" s="538" customFormat="1" x14ac:dyDescent="0.45">
      <c r="A79" s="801" t="s">
        <v>369</v>
      </c>
      <c r="B79" s="785">
        <v>834.78</v>
      </c>
      <c r="C79" s="786"/>
      <c r="D79" s="785"/>
      <c r="E79" s="785">
        <v>0</v>
      </c>
      <c r="F79" s="785"/>
      <c r="G79" s="787">
        <v>0</v>
      </c>
      <c r="H79" s="785"/>
      <c r="I79" s="803">
        <v>0</v>
      </c>
      <c r="J79" s="785"/>
      <c r="K79" s="785">
        <v>0</v>
      </c>
      <c r="L79" s="785"/>
      <c r="M79" s="785">
        <v>0</v>
      </c>
      <c r="N79" s="785"/>
      <c r="O79" s="788">
        <v>0</v>
      </c>
      <c r="P79" s="787"/>
      <c r="Q79" s="787">
        <v>0</v>
      </c>
      <c r="R79" s="787"/>
      <c r="S79" s="787">
        <v>0</v>
      </c>
      <c r="T79" s="787"/>
      <c r="U79" s="787">
        <v>0</v>
      </c>
      <c r="V79" s="787"/>
      <c r="W79" s="787">
        <v>0</v>
      </c>
      <c r="X79" s="787"/>
      <c r="Y79" s="787"/>
      <c r="Z79" s="787"/>
      <c r="AA79" s="787">
        <v>0</v>
      </c>
      <c r="AB79" s="782">
        <f t="shared" si="9"/>
        <v>834.78</v>
      </c>
      <c r="AC79" s="704"/>
      <c r="AD79" s="476">
        <f t="shared" si="7"/>
        <v>834.78</v>
      </c>
      <c r="AE79" s="476"/>
      <c r="AF79" s="476">
        <f t="shared" si="8"/>
        <v>0</v>
      </c>
      <c r="AG79" s="537">
        <f t="shared" si="10"/>
        <v>0</v>
      </c>
      <c r="AH79" s="474">
        <f t="shared" si="11"/>
        <v>834.78</v>
      </c>
    </row>
    <row r="80" spans="1:34" s="538" customFormat="1" x14ac:dyDescent="0.45">
      <c r="A80" s="806" t="s">
        <v>370</v>
      </c>
      <c r="B80" s="785">
        <v>-2.0000000009604264</v>
      </c>
      <c r="C80" s="802"/>
      <c r="D80" s="803"/>
      <c r="E80" s="803">
        <v>0</v>
      </c>
      <c r="F80" s="803"/>
      <c r="G80" s="809">
        <v>0</v>
      </c>
      <c r="H80" s="803"/>
      <c r="I80" s="803">
        <v>0</v>
      </c>
      <c r="J80" s="803"/>
      <c r="K80" s="803">
        <v>0</v>
      </c>
      <c r="L80" s="803"/>
      <c r="M80" s="803">
        <v>0</v>
      </c>
      <c r="N80" s="803"/>
      <c r="O80" s="788">
        <v>0</v>
      </c>
      <c r="P80" s="787"/>
      <c r="Q80" s="787">
        <v>0</v>
      </c>
      <c r="R80" s="787"/>
      <c r="S80" s="787">
        <v>0</v>
      </c>
      <c r="T80" s="764"/>
      <c r="U80" s="787">
        <v>0</v>
      </c>
      <c r="V80" s="787"/>
      <c r="W80" s="787">
        <v>0</v>
      </c>
      <c r="X80" s="787"/>
      <c r="Y80" s="787"/>
      <c r="Z80" s="787"/>
      <c r="AA80" s="787">
        <v>0</v>
      </c>
      <c r="AB80" s="782">
        <f t="shared" si="9"/>
        <v>-2.0000000009604264</v>
      </c>
      <c r="AC80" s="704"/>
      <c r="AD80" s="476">
        <f t="shared" si="7"/>
        <v>-2.0000000009604264</v>
      </c>
      <c r="AE80" s="476"/>
      <c r="AF80" s="476">
        <f t="shared" si="8"/>
        <v>0</v>
      </c>
      <c r="AG80" s="537">
        <f t="shared" si="10"/>
        <v>0</v>
      </c>
      <c r="AH80" s="474">
        <f t="shared" si="11"/>
        <v>-2.0000000009604264</v>
      </c>
    </row>
    <row r="81" spans="1:34" s="538" customFormat="1" x14ac:dyDescent="0.45">
      <c r="A81" s="806" t="s">
        <v>371</v>
      </c>
      <c r="B81" s="785">
        <v>-207956.99000000008</v>
      </c>
      <c r="C81" s="802"/>
      <c r="D81" s="803"/>
      <c r="E81" s="803">
        <v>0</v>
      </c>
      <c r="F81" s="803"/>
      <c r="G81" s="809">
        <v>0</v>
      </c>
      <c r="H81" s="803"/>
      <c r="I81" s="803">
        <v>0</v>
      </c>
      <c r="J81" s="803"/>
      <c r="K81" s="803">
        <v>0</v>
      </c>
      <c r="L81" s="803"/>
      <c r="M81" s="803">
        <v>0</v>
      </c>
      <c r="N81" s="803"/>
      <c r="O81" s="788">
        <v>0</v>
      </c>
      <c r="P81" s="787"/>
      <c r="Q81" s="787">
        <v>0</v>
      </c>
      <c r="R81" s="787"/>
      <c r="S81" s="787">
        <v>0</v>
      </c>
      <c r="T81" s="787"/>
      <c r="U81" s="787">
        <v>0</v>
      </c>
      <c r="V81" s="787"/>
      <c r="W81" s="787">
        <v>0</v>
      </c>
      <c r="X81" s="787"/>
      <c r="Y81" s="787"/>
      <c r="Z81" s="787"/>
      <c r="AA81" s="787">
        <v>0</v>
      </c>
      <c r="AB81" s="782">
        <f t="shared" si="9"/>
        <v>-207956.99000000008</v>
      </c>
      <c r="AC81" s="704"/>
      <c r="AD81" s="476">
        <f t="shared" si="7"/>
        <v>-207956.99000000008</v>
      </c>
      <c r="AE81" s="476"/>
      <c r="AF81" s="476">
        <f t="shared" si="8"/>
        <v>0</v>
      </c>
      <c r="AG81" s="537">
        <f t="shared" si="10"/>
        <v>0</v>
      </c>
      <c r="AH81" s="474">
        <f t="shared" si="11"/>
        <v>-207956.99000000008</v>
      </c>
    </row>
    <row r="82" spans="1:34" s="538" customFormat="1" x14ac:dyDescent="0.45">
      <c r="A82" s="806" t="s">
        <v>435</v>
      </c>
      <c r="B82" s="785">
        <v>-39944.120000000003</v>
      </c>
      <c r="C82" s="802"/>
      <c r="D82" s="803"/>
      <c r="E82" s="803">
        <v>0</v>
      </c>
      <c r="F82" s="803"/>
      <c r="G82" s="809">
        <v>0</v>
      </c>
      <c r="H82" s="803"/>
      <c r="I82" s="803">
        <v>0</v>
      </c>
      <c r="J82" s="803"/>
      <c r="K82" s="803">
        <v>0</v>
      </c>
      <c r="L82" s="803"/>
      <c r="M82" s="803">
        <v>0</v>
      </c>
      <c r="N82" s="803"/>
      <c r="O82" s="788">
        <v>0</v>
      </c>
      <c r="P82" s="787"/>
      <c r="Q82" s="787">
        <v>0</v>
      </c>
      <c r="R82" s="787"/>
      <c r="S82" s="787">
        <v>0</v>
      </c>
      <c r="T82" s="787"/>
      <c r="U82" s="787">
        <v>0</v>
      </c>
      <c r="V82" s="787"/>
      <c r="W82" s="787">
        <v>0</v>
      </c>
      <c r="X82" s="787"/>
      <c r="Y82" s="787"/>
      <c r="Z82" s="787"/>
      <c r="AA82" s="787">
        <v>0</v>
      </c>
      <c r="AB82" s="782">
        <f t="shared" si="9"/>
        <v>-39944.120000000003</v>
      </c>
      <c r="AC82" s="704"/>
      <c r="AD82" s="476">
        <f t="shared" si="7"/>
        <v>-39944.120000000003</v>
      </c>
      <c r="AE82" s="476"/>
      <c r="AF82" s="476">
        <f t="shared" si="8"/>
        <v>0</v>
      </c>
      <c r="AG82" s="537">
        <f t="shared" si="10"/>
        <v>0</v>
      </c>
      <c r="AH82" s="474">
        <f t="shared" si="11"/>
        <v>-39944.120000000003</v>
      </c>
    </row>
    <row r="83" spans="1:34" s="538" customFormat="1" x14ac:dyDescent="0.45">
      <c r="A83" s="806" t="s">
        <v>438</v>
      </c>
      <c r="B83" s="785">
        <v>-1120862.76</v>
      </c>
      <c r="C83" s="802"/>
      <c r="D83" s="803"/>
      <c r="E83" s="803">
        <v>0</v>
      </c>
      <c r="F83" s="803"/>
      <c r="G83" s="809">
        <v>0</v>
      </c>
      <c r="H83" s="803"/>
      <c r="I83" s="803">
        <v>0</v>
      </c>
      <c r="J83" s="803"/>
      <c r="K83" s="803">
        <v>0</v>
      </c>
      <c r="L83" s="803"/>
      <c r="M83" s="803">
        <v>0</v>
      </c>
      <c r="N83" s="803"/>
      <c r="O83" s="788">
        <v>0</v>
      </c>
      <c r="P83" s="787"/>
      <c r="Q83" s="787">
        <v>0</v>
      </c>
      <c r="R83" s="787"/>
      <c r="S83" s="787">
        <v>0</v>
      </c>
      <c r="T83" s="787"/>
      <c r="U83" s="787">
        <v>0</v>
      </c>
      <c r="V83" s="787"/>
      <c r="W83" s="787">
        <v>0</v>
      </c>
      <c r="X83" s="787"/>
      <c r="Y83" s="787"/>
      <c r="Z83" s="787"/>
      <c r="AA83" s="787">
        <v>0</v>
      </c>
      <c r="AB83" s="782">
        <f t="shared" si="9"/>
        <v>-1120862.76</v>
      </c>
      <c r="AC83" s="704"/>
      <c r="AD83" s="476">
        <f t="shared" si="7"/>
        <v>-1120862.76</v>
      </c>
      <c r="AE83" s="476"/>
      <c r="AF83" s="476">
        <f t="shared" si="8"/>
        <v>0</v>
      </c>
      <c r="AG83" s="537">
        <f t="shared" si="10"/>
        <v>0</v>
      </c>
      <c r="AH83" s="474">
        <f t="shared" si="11"/>
        <v>-1120862.76</v>
      </c>
    </row>
    <row r="84" spans="1:34" s="538" customFormat="1" x14ac:dyDescent="0.45">
      <c r="A84" s="806" t="s">
        <v>439</v>
      </c>
      <c r="B84" s="785">
        <v>-21803.759999999998</v>
      </c>
      <c r="C84" s="802"/>
      <c r="D84" s="803"/>
      <c r="E84" s="803">
        <v>0</v>
      </c>
      <c r="F84" s="803"/>
      <c r="G84" s="809">
        <v>0</v>
      </c>
      <c r="H84" s="803"/>
      <c r="I84" s="803">
        <v>0</v>
      </c>
      <c r="J84" s="803"/>
      <c r="K84" s="803">
        <v>0</v>
      </c>
      <c r="L84" s="803"/>
      <c r="M84" s="803">
        <v>0</v>
      </c>
      <c r="N84" s="803"/>
      <c r="O84" s="788">
        <v>0</v>
      </c>
      <c r="P84" s="787"/>
      <c r="Q84" s="787">
        <v>0</v>
      </c>
      <c r="R84" s="787"/>
      <c r="S84" s="787">
        <v>0</v>
      </c>
      <c r="T84" s="787"/>
      <c r="U84" s="787">
        <v>0</v>
      </c>
      <c r="V84" s="787"/>
      <c r="W84" s="787">
        <v>0</v>
      </c>
      <c r="X84" s="787"/>
      <c r="Y84" s="787"/>
      <c r="Z84" s="787"/>
      <c r="AA84" s="787">
        <v>0</v>
      </c>
      <c r="AB84" s="782">
        <f t="shared" si="9"/>
        <v>-21803.759999999998</v>
      </c>
      <c r="AC84" s="704"/>
      <c r="AD84" s="476">
        <f t="shared" si="7"/>
        <v>-21803.759999999998</v>
      </c>
      <c r="AE84" s="476"/>
      <c r="AF84" s="476">
        <f t="shared" si="8"/>
        <v>0</v>
      </c>
      <c r="AG84" s="537">
        <f t="shared" si="10"/>
        <v>0</v>
      </c>
      <c r="AH84" s="474">
        <f t="shared" si="11"/>
        <v>-21803.759999999998</v>
      </c>
    </row>
    <row r="85" spans="1:34" s="538" customFormat="1" x14ac:dyDescent="0.45">
      <c r="A85" s="806" t="s">
        <v>343</v>
      </c>
      <c r="B85" s="785">
        <v>-36.199999999837019</v>
      </c>
      <c r="C85" s="802"/>
      <c r="D85" s="803"/>
      <c r="E85" s="803">
        <v>0</v>
      </c>
      <c r="F85" s="803"/>
      <c r="G85" s="809">
        <v>0</v>
      </c>
      <c r="H85" s="803"/>
      <c r="I85" s="803">
        <v>0</v>
      </c>
      <c r="J85" s="803"/>
      <c r="K85" s="803">
        <v>0</v>
      </c>
      <c r="L85" s="803"/>
      <c r="M85" s="803">
        <v>0</v>
      </c>
      <c r="N85" s="803"/>
      <c r="O85" s="817">
        <v>0</v>
      </c>
      <c r="P85" s="787"/>
      <c r="Q85" s="787">
        <v>0</v>
      </c>
      <c r="R85" s="787"/>
      <c r="S85" s="787">
        <v>0</v>
      </c>
      <c r="T85" s="787"/>
      <c r="U85" s="787">
        <v>0</v>
      </c>
      <c r="V85" s="787"/>
      <c r="W85" s="787">
        <v>0</v>
      </c>
      <c r="X85" s="787"/>
      <c r="Y85" s="787"/>
      <c r="Z85" s="787"/>
      <c r="AA85" s="787">
        <v>0</v>
      </c>
      <c r="AB85" s="782">
        <f t="shared" si="9"/>
        <v>-36.199999999837019</v>
      </c>
      <c r="AC85" s="704"/>
      <c r="AD85" s="476">
        <f t="shared" si="7"/>
        <v>-36.199999999837019</v>
      </c>
      <c r="AE85" s="476"/>
      <c r="AF85" s="476">
        <f t="shared" si="8"/>
        <v>0</v>
      </c>
      <c r="AG85" s="537">
        <f t="shared" si="10"/>
        <v>0</v>
      </c>
      <c r="AH85" s="474">
        <f t="shared" si="11"/>
        <v>-36.199999999837019</v>
      </c>
    </row>
    <row r="86" spans="1:34" s="538" customFormat="1" x14ac:dyDescent="0.45">
      <c r="A86" s="806" t="s">
        <v>463</v>
      </c>
      <c r="B86" s="785">
        <v>0</v>
      </c>
      <c r="C86" s="802"/>
      <c r="D86" s="803"/>
      <c r="E86" s="803">
        <v>0</v>
      </c>
      <c r="F86" s="803"/>
      <c r="G86" s="809">
        <v>0</v>
      </c>
      <c r="H86" s="803"/>
      <c r="I86" s="785">
        <v>0</v>
      </c>
      <c r="J86" s="803"/>
      <c r="K86" s="803">
        <v>0</v>
      </c>
      <c r="L86" s="803"/>
      <c r="M86" s="803">
        <v>0</v>
      </c>
      <c r="N86" s="803"/>
      <c r="O86" s="788">
        <v>0</v>
      </c>
      <c r="P86" s="787"/>
      <c r="Q86" s="787">
        <v>0</v>
      </c>
      <c r="R86" s="787"/>
      <c r="S86" s="787">
        <v>0</v>
      </c>
      <c r="T86" s="787"/>
      <c r="U86" s="787">
        <v>0</v>
      </c>
      <c r="V86" s="787"/>
      <c r="W86" s="787">
        <v>0</v>
      </c>
      <c r="X86" s="787"/>
      <c r="Y86" s="787"/>
      <c r="Z86" s="787"/>
      <c r="AA86" s="787">
        <v>0</v>
      </c>
      <c r="AB86" s="782">
        <f t="shared" si="9"/>
        <v>0</v>
      </c>
      <c r="AC86" s="704"/>
      <c r="AD86" s="476">
        <f t="shared" si="7"/>
        <v>0</v>
      </c>
      <c r="AE86" s="476"/>
      <c r="AF86" s="476">
        <f t="shared" si="8"/>
        <v>0</v>
      </c>
      <c r="AG86" s="537">
        <f t="shared" si="10"/>
        <v>0</v>
      </c>
      <c r="AH86" s="474">
        <f t="shared" si="11"/>
        <v>0</v>
      </c>
    </row>
    <row r="87" spans="1:34" s="538" customFormat="1" x14ac:dyDescent="0.45">
      <c r="A87" s="801" t="s">
        <v>501</v>
      </c>
      <c r="B87" s="785">
        <v>-24217.499999991924</v>
      </c>
      <c r="C87" s="786"/>
      <c r="D87" s="785"/>
      <c r="E87" s="785">
        <v>0</v>
      </c>
      <c r="F87" s="785"/>
      <c r="G87" s="787">
        <v>0</v>
      </c>
      <c r="H87" s="785"/>
      <c r="I87" s="785">
        <v>13635.72</v>
      </c>
      <c r="J87" s="785"/>
      <c r="K87" s="785">
        <v>37327.599999999999</v>
      </c>
      <c r="L87" s="785"/>
      <c r="M87" s="785">
        <v>0</v>
      </c>
      <c r="N87" s="785">
        <f>13635.72</f>
        <v>13635.72</v>
      </c>
      <c r="O87" s="785">
        <v>0</v>
      </c>
      <c r="P87" s="787"/>
      <c r="Q87" s="787">
        <v>0</v>
      </c>
      <c r="R87" s="787"/>
      <c r="S87" s="787">
        <v>0</v>
      </c>
      <c r="T87" s="787"/>
      <c r="U87" s="787">
        <v>63539.579999999994</v>
      </c>
      <c r="V87" s="787"/>
      <c r="W87" s="787">
        <v>76389.119999999995</v>
      </c>
      <c r="X87" s="787"/>
      <c r="Y87" s="787">
        <v>19399.05</v>
      </c>
      <c r="Z87" s="787">
        <v>139928.70000000001</v>
      </c>
      <c r="AA87" s="787">
        <v>25862.25</v>
      </c>
      <c r="AB87" s="782">
        <f t="shared" si="9"/>
        <v>58371.400000008056</v>
      </c>
      <c r="AC87" s="704"/>
      <c r="AD87" s="476">
        <f t="shared" si="7"/>
        <v>-24217.499999991924</v>
      </c>
      <c r="AE87" s="476"/>
      <c r="AF87" s="476">
        <f t="shared" si="8"/>
        <v>236153.31999999998</v>
      </c>
      <c r="AG87" s="537">
        <f t="shared" si="10"/>
        <v>153564.42000000001</v>
      </c>
      <c r="AH87" s="474">
        <f t="shared" si="11"/>
        <v>58371.400000008027</v>
      </c>
    </row>
    <row r="88" spans="1:34" s="538" customFormat="1" x14ac:dyDescent="0.45">
      <c r="A88" s="806" t="s">
        <v>441</v>
      </c>
      <c r="B88" s="785">
        <v>-135954.03000000003</v>
      </c>
      <c r="C88" s="802"/>
      <c r="D88" s="803"/>
      <c r="E88" s="803">
        <v>0</v>
      </c>
      <c r="F88" s="803"/>
      <c r="G88" s="809">
        <v>0</v>
      </c>
      <c r="H88" s="803"/>
      <c r="I88" s="785">
        <v>0</v>
      </c>
      <c r="J88" s="803"/>
      <c r="K88" s="803">
        <v>0</v>
      </c>
      <c r="L88" s="803"/>
      <c r="M88" s="803">
        <v>0</v>
      </c>
      <c r="N88" s="803"/>
      <c r="O88" s="803">
        <v>0</v>
      </c>
      <c r="P88" s="809"/>
      <c r="Q88" s="809">
        <v>0</v>
      </c>
      <c r="R88" s="809"/>
      <c r="S88" s="809">
        <v>0</v>
      </c>
      <c r="T88" s="809"/>
      <c r="U88" s="809">
        <v>0</v>
      </c>
      <c r="V88" s="809"/>
      <c r="W88" s="809">
        <v>0</v>
      </c>
      <c r="X88" s="809"/>
      <c r="Y88" s="787"/>
      <c r="Z88" s="809"/>
      <c r="AA88" s="809">
        <v>0</v>
      </c>
      <c r="AB88" s="782">
        <f t="shared" si="9"/>
        <v>-135954.03000000003</v>
      </c>
      <c r="AC88" s="704"/>
      <c r="AD88" s="476">
        <f t="shared" si="7"/>
        <v>-135954.03000000003</v>
      </c>
      <c r="AE88" s="476"/>
      <c r="AF88" s="476">
        <f t="shared" si="8"/>
        <v>0</v>
      </c>
      <c r="AG88" s="537">
        <f t="shared" si="10"/>
        <v>0</v>
      </c>
      <c r="AH88" s="474">
        <f t="shared" si="11"/>
        <v>-135954.03000000003</v>
      </c>
    </row>
    <row r="89" spans="1:34" s="538" customFormat="1" x14ac:dyDescent="0.45">
      <c r="A89" s="806" t="s">
        <v>480</v>
      </c>
      <c r="B89" s="803">
        <v>16010.270000000022</v>
      </c>
      <c r="C89" s="802"/>
      <c r="D89" s="803"/>
      <c r="E89" s="803">
        <v>16786.53</v>
      </c>
      <c r="F89" s="803">
        <v>16786.53</v>
      </c>
      <c r="G89" s="809">
        <v>29645.010000000002</v>
      </c>
      <c r="H89" s="803"/>
      <c r="I89" s="785">
        <v>146.51</v>
      </c>
      <c r="J89" s="803">
        <f>29791.52</f>
        <v>29791.52</v>
      </c>
      <c r="K89" s="803">
        <v>0</v>
      </c>
      <c r="L89" s="803"/>
      <c r="M89" s="803">
        <v>0</v>
      </c>
      <c r="N89" s="803"/>
      <c r="O89" s="803">
        <v>2371.6799999999998</v>
      </c>
      <c r="P89" s="809"/>
      <c r="Q89" s="809">
        <v>54941.06</v>
      </c>
      <c r="R89" s="809">
        <v>54941.06</v>
      </c>
      <c r="S89" s="809">
        <v>0</v>
      </c>
      <c r="T89" s="809"/>
      <c r="U89" s="809">
        <v>0</v>
      </c>
      <c r="V89" s="809"/>
      <c r="W89" s="809">
        <v>0</v>
      </c>
      <c r="X89" s="809"/>
      <c r="Y89" s="787"/>
      <c r="Z89" s="809"/>
      <c r="AA89" s="783">
        <v>0</v>
      </c>
      <c r="AB89" s="782">
        <f t="shared" si="9"/>
        <v>18381.950000000026</v>
      </c>
      <c r="AC89" s="705"/>
      <c r="AD89" s="476">
        <f t="shared" si="7"/>
        <v>16010.270000000022</v>
      </c>
      <c r="AE89" s="488"/>
      <c r="AF89" s="476">
        <f t="shared" si="8"/>
        <v>103890.79000000001</v>
      </c>
      <c r="AG89" s="537">
        <f t="shared" si="10"/>
        <v>101519.11</v>
      </c>
      <c r="AH89" s="474">
        <f t="shared" si="11"/>
        <v>18381.950000000026</v>
      </c>
    </row>
    <row r="90" spans="1:34" s="538" customFormat="1" x14ac:dyDescent="0.45">
      <c r="A90" s="806" t="s">
        <v>481</v>
      </c>
      <c r="B90" s="803">
        <v>50191.030000000013</v>
      </c>
      <c r="C90" s="802"/>
      <c r="D90" s="803"/>
      <c r="E90" s="803">
        <v>33615.22</v>
      </c>
      <c r="F90" s="803">
        <v>71228.77</v>
      </c>
      <c r="G90" s="809">
        <v>67955.89</v>
      </c>
      <c r="H90" s="803">
        <f>12711.22</f>
        <v>12711.22</v>
      </c>
      <c r="I90" s="785">
        <v>93538.36</v>
      </c>
      <c r="J90" s="803">
        <v>161494.25</v>
      </c>
      <c r="K90" s="803">
        <v>91774.78</v>
      </c>
      <c r="L90" s="803"/>
      <c r="M90" s="803">
        <v>110126.41</v>
      </c>
      <c r="N90" s="803">
        <f>110126.41+91774.78</f>
        <v>201901.19</v>
      </c>
      <c r="O90" s="803">
        <v>113043.31</v>
      </c>
      <c r="P90" s="809"/>
      <c r="Q90" s="809">
        <v>107920.98</v>
      </c>
      <c r="R90" s="809"/>
      <c r="S90" s="809">
        <v>88163.34</v>
      </c>
      <c r="T90" s="809">
        <v>196084.32</v>
      </c>
      <c r="U90" s="809">
        <v>24420.61</v>
      </c>
      <c r="V90" s="809">
        <v>113043.31</v>
      </c>
      <c r="W90" s="809">
        <v>3069.99</v>
      </c>
      <c r="X90" s="809"/>
      <c r="Y90" s="789">
        <v>683.98</v>
      </c>
      <c r="Z90" s="809">
        <v>28174.58</v>
      </c>
      <c r="AA90" s="809">
        <v>0</v>
      </c>
      <c r="AB90" s="782">
        <f t="shared" si="9"/>
        <v>-133.74000000000888</v>
      </c>
      <c r="AC90" s="705"/>
      <c r="AD90" s="476">
        <f t="shared" si="7"/>
        <v>50191.030000000013</v>
      </c>
      <c r="AE90" s="488"/>
      <c r="AF90" s="476">
        <f t="shared" si="8"/>
        <v>734312.87</v>
      </c>
      <c r="AG90" s="537">
        <f t="shared" si="10"/>
        <v>784637.64</v>
      </c>
      <c r="AH90" s="474">
        <f t="shared" si="11"/>
        <v>-133.73999999999069</v>
      </c>
    </row>
    <row r="91" spans="1:34" s="538" customFormat="1" x14ac:dyDescent="0.45">
      <c r="A91" s="806" t="s">
        <v>465</v>
      </c>
      <c r="B91" s="803">
        <v>30474.279999999984</v>
      </c>
      <c r="C91" s="802"/>
      <c r="D91" s="803"/>
      <c r="E91" s="803">
        <v>0</v>
      </c>
      <c r="F91" s="803"/>
      <c r="G91" s="809">
        <v>0</v>
      </c>
      <c r="H91" s="803"/>
      <c r="I91" s="785">
        <v>0</v>
      </c>
      <c r="J91" s="803"/>
      <c r="K91" s="803">
        <v>0</v>
      </c>
      <c r="L91" s="803"/>
      <c r="M91" s="803">
        <v>0</v>
      </c>
      <c r="N91" s="803"/>
      <c r="O91" s="803">
        <v>0</v>
      </c>
      <c r="P91" s="809"/>
      <c r="Q91" s="809">
        <v>0</v>
      </c>
      <c r="R91" s="809"/>
      <c r="S91" s="809">
        <v>0</v>
      </c>
      <c r="T91" s="809"/>
      <c r="U91" s="809">
        <v>0</v>
      </c>
      <c r="V91" s="809"/>
      <c r="W91" s="809">
        <v>0</v>
      </c>
      <c r="X91" s="809"/>
      <c r="Y91" s="809"/>
      <c r="Z91" s="809"/>
      <c r="AA91" s="809">
        <v>0</v>
      </c>
      <c r="AB91" s="782">
        <f t="shared" si="9"/>
        <v>30474.279999999984</v>
      </c>
      <c r="AC91" s="705"/>
      <c r="AD91" s="476">
        <f t="shared" si="7"/>
        <v>30474.279999999984</v>
      </c>
      <c r="AE91" s="488"/>
      <c r="AF91" s="476">
        <f t="shared" si="8"/>
        <v>0</v>
      </c>
      <c r="AG91" s="537">
        <f t="shared" si="10"/>
        <v>0</v>
      </c>
      <c r="AH91" s="474">
        <f t="shared" si="11"/>
        <v>30474.279999999984</v>
      </c>
    </row>
    <row r="92" spans="1:34" s="538" customFormat="1" x14ac:dyDescent="0.45">
      <c r="A92" s="806" t="s">
        <v>482</v>
      </c>
      <c r="B92" s="803">
        <v>53098.809999999969</v>
      </c>
      <c r="C92" s="802"/>
      <c r="D92" s="803">
        <v>53098.81</v>
      </c>
      <c r="E92" s="803">
        <v>0</v>
      </c>
      <c r="F92" s="803"/>
      <c r="G92" s="809">
        <v>0</v>
      </c>
      <c r="H92" s="803"/>
      <c r="I92" s="815">
        <v>0</v>
      </c>
      <c r="J92" s="803"/>
      <c r="K92" s="803">
        <v>0</v>
      </c>
      <c r="L92" s="803"/>
      <c r="M92" s="803">
        <v>0</v>
      </c>
      <c r="N92" s="803"/>
      <c r="O92" s="803">
        <v>0</v>
      </c>
      <c r="P92" s="809"/>
      <c r="Q92" s="809">
        <v>0</v>
      </c>
      <c r="R92" s="809"/>
      <c r="S92" s="809">
        <v>0</v>
      </c>
      <c r="T92" s="809"/>
      <c r="U92" s="809">
        <v>0</v>
      </c>
      <c r="V92" s="809"/>
      <c r="W92" s="809">
        <v>0</v>
      </c>
      <c r="X92" s="809"/>
      <c r="Y92" s="809"/>
      <c r="Z92" s="809"/>
      <c r="AA92" s="809">
        <v>0</v>
      </c>
      <c r="AB92" s="782">
        <f t="shared" si="9"/>
        <v>-2.9103830456733704E-11</v>
      </c>
      <c r="AC92" s="705"/>
      <c r="AD92" s="476">
        <f t="shared" si="7"/>
        <v>53098.809999999969</v>
      </c>
      <c r="AE92" s="488"/>
      <c r="AF92" s="476">
        <f t="shared" si="8"/>
        <v>0</v>
      </c>
      <c r="AG92" s="537">
        <f t="shared" si="10"/>
        <v>53098.81</v>
      </c>
      <c r="AH92" s="474">
        <f t="shared" si="11"/>
        <v>0</v>
      </c>
    </row>
    <row r="93" spans="1:34" s="538" customFormat="1" x14ac:dyDescent="0.45">
      <c r="A93" s="806" t="s">
        <v>483</v>
      </c>
      <c r="B93" s="803">
        <v>234566.87999999998</v>
      </c>
      <c r="C93" s="802"/>
      <c r="D93" s="803"/>
      <c r="E93" s="803"/>
      <c r="F93" s="803"/>
      <c r="G93" s="809">
        <v>0</v>
      </c>
      <c r="H93" s="803"/>
      <c r="I93" s="785">
        <v>0</v>
      </c>
      <c r="J93" s="803"/>
      <c r="K93" s="803">
        <v>0</v>
      </c>
      <c r="L93" s="803"/>
      <c r="M93" s="803">
        <v>0</v>
      </c>
      <c r="N93" s="803"/>
      <c r="O93" s="803">
        <v>0</v>
      </c>
      <c r="P93" s="809"/>
      <c r="Q93" s="809">
        <v>17063.490000000002</v>
      </c>
      <c r="R93" s="809"/>
      <c r="S93" s="809">
        <v>41516.21</v>
      </c>
      <c r="T93" s="809"/>
      <c r="U93" s="809">
        <v>788</v>
      </c>
      <c r="V93" s="809"/>
      <c r="W93" s="809">
        <v>17875.46</v>
      </c>
      <c r="X93" s="809"/>
      <c r="Y93" s="809"/>
      <c r="Z93" s="809"/>
      <c r="AA93" s="809">
        <v>0</v>
      </c>
      <c r="AB93" s="782">
        <f t="shared" si="9"/>
        <v>311810.03999999998</v>
      </c>
      <c r="AC93" s="705"/>
      <c r="AD93" s="476">
        <f t="shared" si="7"/>
        <v>234566.87999999998</v>
      </c>
      <c r="AE93" s="488"/>
      <c r="AF93" s="476">
        <f t="shared" si="8"/>
        <v>77243.16</v>
      </c>
      <c r="AG93" s="537">
        <f t="shared" si="10"/>
        <v>0</v>
      </c>
      <c r="AH93" s="474">
        <f t="shared" si="11"/>
        <v>311810.03999999998</v>
      </c>
    </row>
    <row r="94" spans="1:34" s="538" customFormat="1" x14ac:dyDescent="0.45">
      <c r="A94" s="801" t="s">
        <v>466</v>
      </c>
      <c r="B94" s="785">
        <v>219001.40000000002</v>
      </c>
      <c r="C94" s="786"/>
      <c r="D94" s="785"/>
      <c r="E94" s="785"/>
      <c r="F94" s="785"/>
      <c r="G94" s="787">
        <v>0</v>
      </c>
      <c r="H94" s="785"/>
      <c r="I94" s="785">
        <v>0</v>
      </c>
      <c r="J94" s="785"/>
      <c r="K94" s="785">
        <v>15386.26</v>
      </c>
      <c r="L94" s="785">
        <v>15386.26</v>
      </c>
      <c r="M94" s="785">
        <v>6469.35</v>
      </c>
      <c r="N94" s="785">
        <f>6469.35</f>
        <v>6469.35</v>
      </c>
      <c r="O94" s="785"/>
      <c r="P94" s="787"/>
      <c r="Q94" s="787">
        <v>22526.16</v>
      </c>
      <c r="R94" s="787">
        <f>22526.16</f>
        <v>22526.16</v>
      </c>
      <c r="S94" s="787">
        <v>63174.340000000004</v>
      </c>
      <c r="T94" s="787">
        <f>63174.34</f>
        <v>63174.34</v>
      </c>
      <c r="U94" s="787">
        <v>61906.92</v>
      </c>
      <c r="V94" s="787"/>
      <c r="W94" s="787">
        <v>59614.62</v>
      </c>
      <c r="X94" s="787">
        <f>61906.92</f>
        <v>61906.92</v>
      </c>
      <c r="Y94" s="787">
        <v>58073.78</v>
      </c>
      <c r="Z94" s="787">
        <v>59614.62</v>
      </c>
      <c r="AA94" s="787">
        <v>74294.66</v>
      </c>
      <c r="AB94" s="782">
        <f t="shared" si="9"/>
        <v>351369.84000000008</v>
      </c>
      <c r="AC94" s="705"/>
      <c r="AD94" s="476">
        <f t="shared" si="7"/>
        <v>219001.40000000002</v>
      </c>
      <c r="AE94" s="476"/>
      <c r="AF94" s="476">
        <f t="shared" si="8"/>
        <v>361446.09000000008</v>
      </c>
      <c r="AG94" s="537">
        <f t="shared" si="10"/>
        <v>229077.65</v>
      </c>
      <c r="AH94" s="474">
        <f t="shared" si="11"/>
        <v>351369.84000000008</v>
      </c>
    </row>
    <row r="95" spans="1:34" s="538" customFormat="1" x14ac:dyDescent="0.45">
      <c r="A95" s="806" t="s">
        <v>484</v>
      </c>
      <c r="B95" s="803">
        <v>-4.5474735088646412E-13</v>
      </c>
      <c r="C95" s="802"/>
      <c r="D95" s="803"/>
      <c r="E95" s="803"/>
      <c r="F95" s="803"/>
      <c r="G95" s="809">
        <v>0</v>
      </c>
      <c r="H95" s="803"/>
      <c r="I95" s="803">
        <v>0</v>
      </c>
      <c r="J95" s="803"/>
      <c r="K95" s="803">
        <v>0</v>
      </c>
      <c r="L95" s="803"/>
      <c r="M95" s="803">
        <v>0</v>
      </c>
      <c r="N95" s="803"/>
      <c r="O95" s="803"/>
      <c r="P95" s="809"/>
      <c r="Q95" s="809">
        <v>0</v>
      </c>
      <c r="R95" s="551"/>
      <c r="S95" s="809">
        <v>0</v>
      </c>
      <c r="T95" s="809"/>
      <c r="U95" s="809">
        <v>0</v>
      </c>
      <c r="V95" s="809"/>
      <c r="W95" s="809">
        <v>0</v>
      </c>
      <c r="X95" s="809"/>
      <c r="Y95" s="809"/>
      <c r="Z95" s="809"/>
      <c r="AA95" s="809">
        <v>0</v>
      </c>
      <c r="AB95" s="782">
        <f t="shared" si="9"/>
        <v>-4.5474735088646412E-13</v>
      </c>
      <c r="AC95" s="705"/>
      <c r="AD95" s="476">
        <f t="shared" si="7"/>
        <v>-4.5474735088646412E-13</v>
      </c>
      <c r="AE95" s="488"/>
      <c r="AF95" s="476">
        <f t="shared" si="8"/>
        <v>0</v>
      </c>
      <c r="AG95" s="537">
        <f t="shared" si="10"/>
        <v>0</v>
      </c>
      <c r="AH95" s="474">
        <f t="shared" si="11"/>
        <v>-4.5474735088646412E-13</v>
      </c>
    </row>
    <row r="96" spans="1:34" s="538" customFormat="1" x14ac:dyDescent="0.45">
      <c r="A96" s="806" t="s">
        <v>485</v>
      </c>
      <c r="B96" s="803">
        <v>238282.10999999984</v>
      </c>
      <c r="C96" s="802"/>
      <c r="D96" s="803">
        <v>238282.11</v>
      </c>
      <c r="E96" s="803">
        <v>229906.78</v>
      </c>
      <c r="F96" s="803">
        <v>229906.78</v>
      </c>
      <c r="G96" s="809">
        <v>233688.2</v>
      </c>
      <c r="H96" s="803">
        <v>233688.2</v>
      </c>
      <c r="I96" s="803">
        <v>246960.16</v>
      </c>
      <c r="J96" s="803"/>
      <c r="K96" s="803">
        <v>220650.7</v>
      </c>
      <c r="L96" s="803">
        <v>246960.16</v>
      </c>
      <c r="M96" s="803">
        <v>239600.4</v>
      </c>
      <c r="N96" s="803">
        <f>220650.7+239600.4</f>
        <v>460251.1</v>
      </c>
      <c r="O96" s="803">
        <v>237432.6</v>
      </c>
      <c r="P96" s="809"/>
      <c r="Q96" s="809">
        <v>-102407.9</v>
      </c>
      <c r="R96" s="809">
        <v>237432.6</v>
      </c>
      <c r="S96" s="809">
        <v>88912.8</v>
      </c>
      <c r="T96" s="809"/>
      <c r="U96" s="809">
        <v>80072.600000000006</v>
      </c>
      <c r="V96" s="809">
        <v>80072.600000000006</v>
      </c>
      <c r="W96" s="809">
        <v>84952.8</v>
      </c>
      <c r="X96" s="809"/>
      <c r="Y96" s="789">
        <v>88805.2</v>
      </c>
      <c r="Z96" s="809">
        <v>173758</v>
      </c>
      <c r="AA96" s="809">
        <v>57051.92</v>
      </c>
      <c r="AB96" s="782">
        <f t="shared" si="9"/>
        <v>43556.819999999905</v>
      </c>
      <c r="AC96" s="705"/>
      <c r="AD96" s="476">
        <f t="shared" si="7"/>
        <v>238282.10999999984</v>
      </c>
      <c r="AE96" s="488"/>
      <c r="AF96" s="476">
        <f t="shared" si="8"/>
        <v>1705626.2600000002</v>
      </c>
      <c r="AG96" s="537">
        <f t="shared" si="10"/>
        <v>1900351.5500000003</v>
      </c>
      <c r="AH96" s="474">
        <f t="shared" si="11"/>
        <v>43556.819999999832</v>
      </c>
    </row>
    <row r="97" spans="1:34" s="538" customFormat="1" x14ac:dyDescent="0.45">
      <c r="A97" s="806" t="s">
        <v>486</v>
      </c>
      <c r="B97" s="803">
        <v>1.0913936421275139E-11</v>
      </c>
      <c r="C97" s="802"/>
      <c r="D97" s="803"/>
      <c r="E97" s="803"/>
      <c r="F97" s="803"/>
      <c r="G97" s="809">
        <v>0</v>
      </c>
      <c r="H97" s="803"/>
      <c r="I97" s="803">
        <v>0</v>
      </c>
      <c r="J97" s="803"/>
      <c r="K97" s="803">
        <v>0</v>
      </c>
      <c r="L97" s="803"/>
      <c r="M97" s="803">
        <v>0</v>
      </c>
      <c r="N97" s="803"/>
      <c r="O97" s="803"/>
      <c r="P97" s="809"/>
      <c r="Q97" s="809">
        <v>0</v>
      </c>
      <c r="R97" s="809"/>
      <c r="S97" s="809">
        <v>0</v>
      </c>
      <c r="T97" s="809"/>
      <c r="U97" s="809">
        <v>0</v>
      </c>
      <c r="V97" s="809"/>
      <c r="W97" s="809">
        <v>0</v>
      </c>
      <c r="X97" s="809"/>
      <c r="Y97" s="809"/>
      <c r="Z97" s="809"/>
      <c r="AA97" s="809">
        <v>0</v>
      </c>
      <c r="AB97" s="782">
        <f t="shared" si="9"/>
        <v>1.0913936421275139E-11</v>
      </c>
      <c r="AC97" s="705"/>
      <c r="AD97" s="476">
        <f t="shared" si="7"/>
        <v>1.0913936421275139E-11</v>
      </c>
      <c r="AE97" s="488"/>
      <c r="AF97" s="476">
        <f t="shared" si="8"/>
        <v>0</v>
      </c>
      <c r="AG97" s="537">
        <f t="shared" si="10"/>
        <v>0</v>
      </c>
      <c r="AH97" s="474">
        <f t="shared" si="11"/>
        <v>1.0913936421275139E-11</v>
      </c>
    </row>
    <row r="98" spans="1:34" s="538" customFormat="1" x14ac:dyDescent="0.45">
      <c r="A98" s="806" t="s">
        <v>502</v>
      </c>
      <c r="B98" s="803">
        <v>8773.1399999999958</v>
      </c>
      <c r="C98" s="802"/>
      <c r="D98" s="803"/>
      <c r="E98" s="803"/>
      <c r="F98" s="803"/>
      <c r="G98" s="809">
        <v>0</v>
      </c>
      <c r="H98" s="803"/>
      <c r="I98" s="803">
        <v>0</v>
      </c>
      <c r="J98" s="803"/>
      <c r="K98" s="803">
        <v>0</v>
      </c>
      <c r="L98" s="803"/>
      <c r="M98" s="803">
        <v>0</v>
      </c>
      <c r="N98" s="803"/>
      <c r="O98" s="803"/>
      <c r="P98" s="809"/>
      <c r="Q98" s="809">
        <v>0</v>
      </c>
      <c r="R98" s="809"/>
      <c r="S98" s="809">
        <v>0</v>
      </c>
      <c r="T98" s="809"/>
      <c r="U98" s="809">
        <v>0</v>
      </c>
      <c r="V98" s="809"/>
      <c r="W98" s="809">
        <v>0</v>
      </c>
      <c r="X98" s="809"/>
      <c r="Y98" s="809"/>
      <c r="Z98" s="809"/>
      <c r="AA98" s="809">
        <v>0</v>
      </c>
      <c r="AB98" s="782">
        <f t="shared" si="9"/>
        <v>8773.1399999999958</v>
      </c>
      <c r="AC98" s="705"/>
      <c r="AD98" s="476">
        <f t="shared" si="7"/>
        <v>8773.1399999999958</v>
      </c>
      <c r="AE98" s="488"/>
      <c r="AF98" s="476">
        <f t="shared" si="8"/>
        <v>0</v>
      </c>
      <c r="AG98" s="537">
        <f t="shared" si="10"/>
        <v>0</v>
      </c>
      <c r="AH98" s="474">
        <f t="shared" si="11"/>
        <v>8773.1399999999958</v>
      </c>
    </row>
    <row r="99" spans="1:34" s="538" customFormat="1" x14ac:dyDescent="0.45">
      <c r="A99" s="806" t="s">
        <v>503</v>
      </c>
      <c r="B99" s="803">
        <v>73202.629999999976</v>
      </c>
      <c r="C99" s="802"/>
      <c r="D99" s="803"/>
      <c r="E99" s="803"/>
      <c r="F99" s="803"/>
      <c r="G99" s="809">
        <v>0</v>
      </c>
      <c r="H99" s="803"/>
      <c r="I99" s="803">
        <v>0</v>
      </c>
      <c r="J99" s="803"/>
      <c r="K99" s="803">
        <v>0</v>
      </c>
      <c r="L99" s="803"/>
      <c r="M99" s="803">
        <v>0</v>
      </c>
      <c r="N99" s="803"/>
      <c r="O99" s="803"/>
      <c r="P99" s="809"/>
      <c r="Q99" s="809">
        <v>0</v>
      </c>
      <c r="R99" s="809"/>
      <c r="S99" s="809">
        <v>0</v>
      </c>
      <c r="T99" s="809"/>
      <c r="U99" s="809">
        <v>0</v>
      </c>
      <c r="V99" s="809"/>
      <c r="W99" s="809">
        <v>0</v>
      </c>
      <c r="X99" s="809"/>
      <c r="Y99" s="809"/>
      <c r="Z99" s="809"/>
      <c r="AA99" s="809">
        <v>0</v>
      </c>
      <c r="AB99" s="782">
        <f t="shared" si="9"/>
        <v>73202.629999999976</v>
      </c>
      <c r="AC99" s="705"/>
      <c r="AD99" s="476">
        <f t="shared" si="7"/>
        <v>73202.629999999976</v>
      </c>
      <c r="AE99" s="488"/>
      <c r="AF99" s="476">
        <f t="shared" si="8"/>
        <v>0</v>
      </c>
      <c r="AG99" s="537">
        <f t="shared" si="10"/>
        <v>0</v>
      </c>
      <c r="AH99" s="474">
        <f t="shared" si="11"/>
        <v>73202.629999999976</v>
      </c>
    </row>
    <row r="100" spans="1:34" s="538" customFormat="1" x14ac:dyDescent="0.45">
      <c r="A100" s="806" t="s">
        <v>504</v>
      </c>
      <c r="B100" s="803">
        <v>68292.540000000008</v>
      </c>
      <c r="C100" s="802"/>
      <c r="D100" s="803"/>
      <c r="E100" s="803"/>
      <c r="F100" s="803"/>
      <c r="G100" s="809">
        <v>0</v>
      </c>
      <c r="H100" s="803"/>
      <c r="I100" s="803">
        <v>2215.85</v>
      </c>
      <c r="J100" s="803"/>
      <c r="K100" s="803">
        <v>0</v>
      </c>
      <c r="L100" s="803"/>
      <c r="M100" s="803">
        <v>0</v>
      </c>
      <c r="N100" s="803"/>
      <c r="O100" s="803"/>
      <c r="P100" s="809"/>
      <c r="Q100" s="809">
        <v>0</v>
      </c>
      <c r="R100" s="809"/>
      <c r="S100" s="809">
        <v>0</v>
      </c>
      <c r="T100" s="809"/>
      <c r="U100" s="809">
        <v>0</v>
      </c>
      <c r="V100" s="809"/>
      <c r="W100" s="809">
        <v>0</v>
      </c>
      <c r="X100" s="809"/>
      <c r="Y100" s="809">
        <v>2462.2600000000002</v>
      </c>
      <c r="Z100" s="809"/>
      <c r="AA100" s="809">
        <v>5210.67</v>
      </c>
      <c r="AB100" s="782">
        <f t="shared" si="9"/>
        <v>78181.320000000007</v>
      </c>
      <c r="AC100" s="705"/>
      <c r="AD100" s="476">
        <f t="shared" si="7"/>
        <v>68292.540000000008</v>
      </c>
      <c r="AE100" s="488"/>
      <c r="AF100" s="476">
        <f t="shared" si="8"/>
        <v>9888.7800000000007</v>
      </c>
      <c r="AG100" s="537">
        <f t="shared" si="10"/>
        <v>0</v>
      </c>
      <c r="AH100" s="474">
        <f t="shared" si="11"/>
        <v>78181.320000000007</v>
      </c>
    </row>
    <row r="101" spans="1:34" s="538" customFormat="1" x14ac:dyDescent="0.45">
      <c r="A101" s="806" t="s">
        <v>505</v>
      </c>
      <c r="B101" s="803">
        <v>973890.40999999992</v>
      </c>
      <c r="C101" s="802"/>
      <c r="D101" s="803"/>
      <c r="E101" s="803">
        <v>3832.01</v>
      </c>
      <c r="F101" s="803"/>
      <c r="G101" s="809">
        <v>0</v>
      </c>
      <c r="H101" s="803"/>
      <c r="I101" s="803">
        <v>8330.2899999999991</v>
      </c>
      <c r="J101" s="803">
        <f>3832.01</f>
        <v>3832.01</v>
      </c>
      <c r="K101" s="803">
        <v>0</v>
      </c>
      <c r="L101" s="803">
        <v>973875.41</v>
      </c>
      <c r="M101" s="803">
        <v>0</v>
      </c>
      <c r="N101" s="803"/>
      <c r="O101" s="803"/>
      <c r="P101" s="809"/>
      <c r="Q101" s="809">
        <v>0</v>
      </c>
      <c r="R101" s="809"/>
      <c r="S101" s="809">
        <v>0</v>
      </c>
      <c r="T101" s="809"/>
      <c r="U101" s="809">
        <v>0</v>
      </c>
      <c r="V101" s="809"/>
      <c r="W101" s="809">
        <v>0</v>
      </c>
      <c r="X101" s="809"/>
      <c r="Y101" s="809"/>
      <c r="Z101" s="809"/>
      <c r="AA101" s="809">
        <v>0</v>
      </c>
      <c r="AB101" s="782">
        <f t="shared" si="9"/>
        <v>8345.2899999999208</v>
      </c>
      <c r="AC101" s="705"/>
      <c r="AD101" s="476">
        <f t="shared" si="7"/>
        <v>973890.40999999992</v>
      </c>
      <c r="AE101" s="488"/>
      <c r="AF101" s="476">
        <f t="shared" si="8"/>
        <v>12162.3</v>
      </c>
      <c r="AG101" s="537">
        <f t="shared" si="10"/>
        <v>977707.42</v>
      </c>
      <c r="AH101" s="474">
        <f t="shared" si="11"/>
        <v>8345.2899999999208</v>
      </c>
    </row>
    <row r="102" spans="1:34" s="538" customFormat="1" x14ac:dyDescent="0.45">
      <c r="A102" s="806" t="s">
        <v>506</v>
      </c>
      <c r="B102" s="803">
        <v>108381.70999999982</v>
      </c>
      <c r="C102" s="802"/>
      <c r="D102" s="803">
        <f>63165.4</f>
        <v>63165.4</v>
      </c>
      <c r="E102" s="803">
        <v>3242.71</v>
      </c>
      <c r="F102" s="803">
        <v>48459.02</v>
      </c>
      <c r="G102" s="809">
        <v>3835.9</v>
      </c>
      <c r="H102" s="803"/>
      <c r="I102" s="803">
        <v>5463.2200000000012</v>
      </c>
      <c r="J102" s="803"/>
      <c r="K102" s="803">
        <v>-3755.5000000000005</v>
      </c>
      <c r="L102" s="803"/>
      <c r="M102" s="803">
        <v>0</v>
      </c>
      <c r="N102" s="803"/>
      <c r="O102" s="803">
        <v>27028.880000000001</v>
      </c>
      <c r="P102" s="809"/>
      <c r="Q102" s="809">
        <v>0</v>
      </c>
      <c r="R102" s="809"/>
      <c r="S102" s="809">
        <v>0</v>
      </c>
      <c r="T102" s="809"/>
      <c r="U102" s="809">
        <v>0</v>
      </c>
      <c r="V102" s="809"/>
      <c r="W102" s="809">
        <v>0</v>
      </c>
      <c r="X102" s="809"/>
      <c r="Y102" s="809"/>
      <c r="Z102" s="809"/>
      <c r="AA102" s="809">
        <v>0</v>
      </c>
      <c r="AB102" s="782">
        <f t="shared" si="9"/>
        <v>32572.499999999818</v>
      </c>
      <c r="AC102" s="705"/>
      <c r="AD102" s="476">
        <f t="shared" ref="AD102:AD111" si="12">B102</f>
        <v>108381.70999999982</v>
      </c>
      <c r="AE102" s="488"/>
      <c r="AF102" s="476">
        <f t="shared" ref="AF102:AF111" si="13">E102+G102+I102+K102+M102+O102+Q102+S102+U102+W102+Y102+AA102</f>
        <v>35815.210000000006</v>
      </c>
      <c r="AG102" s="537">
        <f t="shared" si="10"/>
        <v>111624.42</v>
      </c>
      <c r="AH102" s="474">
        <f t="shared" si="11"/>
        <v>32572.499999999811</v>
      </c>
    </row>
    <row r="103" spans="1:34" s="538" customFormat="1" x14ac:dyDescent="0.45">
      <c r="A103" s="806" t="s">
        <v>507</v>
      </c>
      <c r="B103" s="803">
        <v>665966.09000000008</v>
      </c>
      <c r="C103" s="802"/>
      <c r="D103" s="803">
        <v>391197.52</v>
      </c>
      <c r="E103" s="803">
        <v>100607.7</v>
      </c>
      <c r="F103" s="803">
        <f>126041.96+46396.02</f>
        <v>172437.98</v>
      </c>
      <c r="G103" s="809">
        <v>72225.279999999999</v>
      </c>
      <c r="H103" s="803"/>
      <c r="I103" s="803">
        <v>137407.32</v>
      </c>
      <c r="J103" s="803">
        <v>96271.09</v>
      </c>
      <c r="K103" s="803">
        <v>99592.43</v>
      </c>
      <c r="L103" s="803">
        <v>316299.8</v>
      </c>
      <c r="M103" s="803">
        <v>101527.04000000001</v>
      </c>
      <c r="N103" s="803">
        <f>34027.6</f>
        <v>34027.599999999999</v>
      </c>
      <c r="O103" s="803">
        <v>76148.86</v>
      </c>
      <c r="P103" s="809"/>
      <c r="Q103" s="809">
        <v>63471.320000000007</v>
      </c>
      <c r="R103" s="809"/>
      <c r="S103" s="809">
        <v>43609.64</v>
      </c>
      <c r="T103" s="809"/>
      <c r="U103" s="809">
        <v>48740.7</v>
      </c>
      <c r="V103" s="809">
        <v>63471.32</v>
      </c>
      <c r="W103" s="809">
        <v>27362.98</v>
      </c>
      <c r="X103" s="809">
        <v>243240.73</v>
      </c>
      <c r="Y103" s="809">
        <v>-94256.51999999999</v>
      </c>
      <c r="Z103" s="809"/>
      <c r="AA103" s="809">
        <v>50124.45</v>
      </c>
      <c r="AB103" s="782">
        <f t="shared" si="9"/>
        <v>75581.250000000044</v>
      </c>
      <c r="AC103" s="705"/>
      <c r="AD103" s="476">
        <f t="shared" si="12"/>
        <v>665966.09000000008</v>
      </c>
      <c r="AE103" s="488"/>
      <c r="AF103" s="476">
        <f t="shared" si="13"/>
        <v>726561.19999999984</v>
      </c>
      <c r="AG103" s="537">
        <f t="shared" si="10"/>
        <v>1316946.0399999998</v>
      </c>
      <c r="AH103" s="474">
        <f t="shared" si="11"/>
        <v>75581.250000000233</v>
      </c>
    </row>
    <row r="104" spans="1:34" s="538" customFormat="1" x14ac:dyDescent="0.45">
      <c r="A104" s="806" t="s">
        <v>508</v>
      </c>
      <c r="B104" s="803">
        <v>731.7</v>
      </c>
      <c r="C104" s="802"/>
      <c r="D104" s="803"/>
      <c r="E104" s="803"/>
      <c r="F104" s="803"/>
      <c r="G104" s="809">
        <v>0</v>
      </c>
      <c r="H104" s="803"/>
      <c r="I104" s="803">
        <v>0</v>
      </c>
      <c r="J104" s="803"/>
      <c r="K104" s="803">
        <v>0</v>
      </c>
      <c r="L104" s="803"/>
      <c r="M104" s="803">
        <v>0</v>
      </c>
      <c r="N104" s="803"/>
      <c r="O104" s="803"/>
      <c r="P104" s="809"/>
      <c r="Q104" s="809">
        <v>0</v>
      </c>
      <c r="R104" s="809"/>
      <c r="S104" s="809">
        <v>0</v>
      </c>
      <c r="T104" s="809"/>
      <c r="U104" s="809"/>
      <c r="V104" s="809"/>
      <c r="W104" s="809">
        <v>0</v>
      </c>
      <c r="X104" s="809"/>
      <c r="Y104" s="809"/>
      <c r="Z104" s="809"/>
      <c r="AA104" s="809">
        <v>0</v>
      </c>
      <c r="AB104" s="782">
        <f t="shared" si="9"/>
        <v>731.7</v>
      </c>
      <c r="AC104" s="705"/>
      <c r="AD104" s="476">
        <f t="shared" si="12"/>
        <v>731.7</v>
      </c>
      <c r="AE104" s="488"/>
      <c r="AF104" s="476">
        <f t="shared" si="13"/>
        <v>0</v>
      </c>
      <c r="AG104" s="537">
        <f t="shared" si="10"/>
        <v>0</v>
      </c>
      <c r="AH104" s="474">
        <f t="shared" si="11"/>
        <v>731.7</v>
      </c>
    </row>
    <row r="105" spans="1:34" s="538" customFormat="1" x14ac:dyDescent="0.45">
      <c r="A105" s="806" t="s">
        <v>509</v>
      </c>
      <c r="B105" s="803">
        <v>416348.50000000006</v>
      </c>
      <c r="C105" s="802"/>
      <c r="D105" s="803"/>
      <c r="E105" s="803"/>
      <c r="F105" s="803"/>
      <c r="G105" s="809">
        <v>0</v>
      </c>
      <c r="H105" s="803"/>
      <c r="I105" s="803"/>
      <c r="J105" s="803"/>
      <c r="K105" s="803">
        <v>0</v>
      </c>
      <c r="L105" s="803"/>
      <c r="M105" s="803">
        <v>0</v>
      </c>
      <c r="N105" s="803"/>
      <c r="O105" s="803"/>
      <c r="P105" s="809"/>
      <c r="Q105" s="809">
        <v>0</v>
      </c>
      <c r="R105" s="809"/>
      <c r="S105" s="809">
        <v>0</v>
      </c>
      <c r="T105" s="809"/>
      <c r="U105" s="809"/>
      <c r="V105" s="809"/>
      <c r="W105" s="809">
        <v>0</v>
      </c>
      <c r="X105" s="809"/>
      <c r="Y105" s="809"/>
      <c r="Z105" s="809"/>
      <c r="AA105" s="809">
        <v>0</v>
      </c>
      <c r="AB105" s="782">
        <f t="shared" si="9"/>
        <v>416348.50000000006</v>
      </c>
      <c r="AC105" s="705"/>
      <c r="AD105" s="476">
        <f t="shared" si="12"/>
        <v>416348.50000000006</v>
      </c>
      <c r="AE105" s="488"/>
      <c r="AF105" s="476">
        <f t="shared" si="13"/>
        <v>0</v>
      </c>
      <c r="AG105" s="537">
        <f t="shared" si="10"/>
        <v>0</v>
      </c>
      <c r="AH105" s="474">
        <f t="shared" si="11"/>
        <v>416348.50000000006</v>
      </c>
    </row>
    <row r="106" spans="1:34" s="538" customFormat="1" x14ac:dyDescent="0.45">
      <c r="A106" s="806" t="s">
        <v>510</v>
      </c>
      <c r="B106" s="803">
        <v>19894.119999999984</v>
      </c>
      <c r="C106" s="802"/>
      <c r="D106" s="803"/>
      <c r="E106" s="803">
        <v>78943.7</v>
      </c>
      <c r="F106" s="803">
        <f>19894.12+78943.7</f>
        <v>98837.819999999992</v>
      </c>
      <c r="G106" s="809">
        <v>0</v>
      </c>
      <c r="H106" s="803"/>
      <c r="I106" s="803">
        <v>6443.37</v>
      </c>
      <c r="J106" s="803">
        <v>6443.37</v>
      </c>
      <c r="K106" s="803">
        <v>0</v>
      </c>
      <c r="L106" s="803"/>
      <c r="M106" s="803">
        <v>0</v>
      </c>
      <c r="N106" s="803"/>
      <c r="O106" s="803"/>
      <c r="P106" s="809"/>
      <c r="Q106" s="809">
        <v>0</v>
      </c>
      <c r="R106" s="809"/>
      <c r="S106" s="809">
        <v>0</v>
      </c>
      <c r="T106" s="809"/>
      <c r="U106" s="809"/>
      <c r="V106" s="809"/>
      <c r="W106" s="809">
        <v>0</v>
      </c>
      <c r="X106" s="809"/>
      <c r="Y106" s="809"/>
      <c r="Z106" s="809"/>
      <c r="AA106" s="809">
        <v>0</v>
      </c>
      <c r="AB106" s="782">
        <f t="shared" si="9"/>
        <v>-1.4551915228366852E-11</v>
      </c>
      <c r="AC106" s="705"/>
      <c r="AD106" s="476">
        <f t="shared" si="12"/>
        <v>19894.119999999984</v>
      </c>
      <c r="AE106" s="488"/>
      <c r="AF106" s="476">
        <f t="shared" si="13"/>
        <v>85387.069999999992</v>
      </c>
      <c r="AG106" s="537">
        <f t="shared" si="10"/>
        <v>105281.18999999999</v>
      </c>
      <c r="AH106" s="474">
        <f t="shared" si="11"/>
        <v>0</v>
      </c>
    </row>
    <row r="107" spans="1:34" s="538" customFormat="1" x14ac:dyDescent="0.45">
      <c r="A107" s="643" t="s">
        <v>511</v>
      </c>
      <c r="B107" s="811">
        <v>302376.78999999998</v>
      </c>
      <c r="C107" s="810"/>
      <c r="D107" s="811">
        <v>128158.99</v>
      </c>
      <c r="E107" s="811">
        <v>19618.5</v>
      </c>
      <c r="F107" s="811"/>
      <c r="G107" s="812">
        <v>9025.68</v>
      </c>
      <c r="H107" s="811"/>
      <c r="I107" s="811">
        <v>53419.270000000004</v>
      </c>
      <c r="J107" s="811"/>
      <c r="K107" s="811">
        <v>48497.96</v>
      </c>
      <c r="L107" s="811"/>
      <c r="M107" s="811">
        <v>5047.08</v>
      </c>
      <c r="N107" s="811"/>
      <c r="O107" s="811">
        <v>7082.4000000000005</v>
      </c>
      <c r="P107" s="812"/>
      <c r="Q107" s="812"/>
      <c r="R107" s="812"/>
      <c r="S107" s="812">
        <v>0</v>
      </c>
      <c r="T107" s="812"/>
      <c r="U107" s="812"/>
      <c r="V107" s="812"/>
      <c r="W107" s="812">
        <v>49573.22</v>
      </c>
      <c r="X107" s="812">
        <v>316908.69</v>
      </c>
      <c r="Y107" s="812">
        <v>43882.149999999994</v>
      </c>
      <c r="Z107" s="812">
        <v>85118.67</v>
      </c>
      <c r="AA107" s="812">
        <v>34858.22</v>
      </c>
      <c r="AB107" s="782">
        <f t="shared" si="9"/>
        <v>43194.920000000027</v>
      </c>
      <c r="AC107" s="705"/>
      <c r="AD107" s="476">
        <f>B107</f>
        <v>302376.78999999998</v>
      </c>
      <c r="AE107" s="488"/>
      <c r="AF107" s="476">
        <f>E107+G107+I107+K107+M107+O107+Q107+S107+U107+W107+Y107+AA107</f>
        <v>271004.48</v>
      </c>
      <c r="AG107" s="537">
        <f t="shared" si="10"/>
        <v>530186.35</v>
      </c>
      <c r="AH107" s="474">
        <f t="shared" si="11"/>
        <v>43194.920000000042</v>
      </c>
    </row>
    <row r="108" spans="1:34" s="538" customFormat="1" x14ac:dyDescent="0.45">
      <c r="A108" s="643" t="s">
        <v>525</v>
      </c>
      <c r="B108" s="811">
        <v>3.637978807091713E-12</v>
      </c>
      <c r="C108" s="810"/>
      <c r="D108" s="811"/>
      <c r="E108" s="811">
        <v>1438.46</v>
      </c>
      <c r="F108" s="811"/>
      <c r="G108" s="812">
        <v>0</v>
      </c>
      <c r="H108" s="811"/>
      <c r="I108" s="811">
        <v>63550.96</v>
      </c>
      <c r="J108" s="811"/>
      <c r="K108" s="811">
        <v>0</v>
      </c>
      <c r="L108" s="811"/>
      <c r="M108" s="811">
        <v>0</v>
      </c>
      <c r="N108" s="811"/>
      <c r="O108" s="811"/>
      <c r="P108" s="812"/>
      <c r="Q108" s="812"/>
      <c r="R108" s="812"/>
      <c r="S108" s="812">
        <v>0</v>
      </c>
      <c r="T108" s="812"/>
      <c r="U108" s="812"/>
      <c r="V108" s="812"/>
      <c r="W108" s="812"/>
      <c r="X108" s="812"/>
      <c r="Y108" s="812"/>
      <c r="Z108" s="812"/>
      <c r="AA108" s="812">
        <v>0</v>
      </c>
      <c r="AB108" s="782">
        <f t="shared" si="9"/>
        <v>64989.420000000006</v>
      </c>
      <c r="AC108" s="705"/>
      <c r="AD108" s="476">
        <f t="shared" si="12"/>
        <v>3.637978807091713E-12</v>
      </c>
      <c r="AE108" s="488"/>
      <c r="AF108" s="476">
        <f t="shared" si="13"/>
        <v>64989.42</v>
      </c>
      <c r="AG108" s="537">
        <f t="shared" si="10"/>
        <v>0</v>
      </c>
      <c r="AH108" s="474">
        <f t="shared" si="11"/>
        <v>64989.42</v>
      </c>
    </row>
    <row r="109" spans="1:34" s="538" customFormat="1" x14ac:dyDescent="0.45">
      <c r="A109" s="643" t="s">
        <v>512</v>
      </c>
      <c r="B109" s="811">
        <v>244613.4800000001</v>
      </c>
      <c r="C109" s="810"/>
      <c r="D109" s="811"/>
      <c r="E109" s="811">
        <v>14188.83</v>
      </c>
      <c r="F109" s="811">
        <v>14188.83</v>
      </c>
      <c r="G109" s="812">
        <v>48395.7</v>
      </c>
      <c r="H109" s="811">
        <f>48395.7</f>
        <v>48395.7</v>
      </c>
      <c r="I109" s="811">
        <v>64575.189999999995</v>
      </c>
      <c r="J109" s="811">
        <f>64575.19</f>
        <v>64575.19</v>
      </c>
      <c r="K109" s="811">
        <v>22188.880000000001</v>
      </c>
      <c r="L109" s="811">
        <v>22188.880000000001</v>
      </c>
      <c r="M109" s="811">
        <v>54204.25</v>
      </c>
      <c r="N109" s="811">
        <f>54204.25</f>
        <v>54204.25</v>
      </c>
      <c r="O109" s="811"/>
      <c r="P109" s="812">
        <v>235986.7</v>
      </c>
      <c r="Q109" s="812"/>
      <c r="R109" s="812"/>
      <c r="S109" s="812">
        <v>53577.369999999995</v>
      </c>
      <c r="T109" s="812">
        <f>53577.37</f>
        <v>53577.37</v>
      </c>
      <c r="U109" s="812"/>
      <c r="V109" s="812"/>
      <c r="W109" s="812">
        <v>21166.449999999997</v>
      </c>
      <c r="X109" s="812"/>
      <c r="Y109" s="812">
        <v>11534.36</v>
      </c>
      <c r="Z109" s="812">
        <v>21166.45</v>
      </c>
      <c r="AA109" s="812">
        <v>3399.27</v>
      </c>
      <c r="AB109" s="782">
        <f t="shared" si="9"/>
        <v>23560.410000000076</v>
      </c>
      <c r="AC109" s="705"/>
      <c r="AD109" s="476">
        <f t="shared" si="12"/>
        <v>244613.4800000001</v>
      </c>
      <c r="AE109" s="488"/>
      <c r="AF109" s="476">
        <f t="shared" si="13"/>
        <v>293230.3</v>
      </c>
      <c r="AG109" s="537">
        <f t="shared" si="10"/>
        <v>514283.37000000005</v>
      </c>
      <c r="AH109" s="474">
        <f t="shared" si="11"/>
        <v>23560.409999999974</v>
      </c>
    </row>
    <row r="110" spans="1:34" s="538" customFormat="1" x14ac:dyDescent="0.45">
      <c r="A110" s="643" t="s">
        <v>526</v>
      </c>
      <c r="B110" s="811">
        <v>1568632.6400000001</v>
      </c>
      <c r="C110" s="810"/>
      <c r="D110" s="811"/>
      <c r="E110" s="811">
        <v>862931.97</v>
      </c>
      <c r="F110" s="811">
        <v>2431559.6100000003</v>
      </c>
      <c r="G110" s="812">
        <v>1174570.6000000001</v>
      </c>
      <c r="H110" s="811"/>
      <c r="I110" s="811">
        <v>1578582.5</v>
      </c>
      <c r="J110" s="811">
        <f>587285.3+587285.3+789291.25+789291.25</f>
        <v>2753153.1</v>
      </c>
      <c r="K110" s="811">
        <v>1550398.7</v>
      </c>
      <c r="L110" s="811">
        <v>1550398.7</v>
      </c>
      <c r="M110" s="811">
        <v>1674513.5</v>
      </c>
      <c r="N110" s="811">
        <f>837256.75+837256.75</f>
        <v>1674513.5</v>
      </c>
      <c r="O110" s="811">
        <v>1680994.3</v>
      </c>
      <c r="P110" s="812">
        <f>840497.15</f>
        <v>840497.15</v>
      </c>
      <c r="Q110" s="812">
        <v>1671692.6</v>
      </c>
      <c r="R110" s="812">
        <v>840497.15</v>
      </c>
      <c r="S110" s="812">
        <v>1741666</v>
      </c>
      <c r="T110" s="812">
        <f>835846.3+835846.3+870833</f>
        <v>2542525.6</v>
      </c>
      <c r="U110" s="812">
        <v>1675038.1</v>
      </c>
      <c r="V110" s="812">
        <v>2545871.1</v>
      </c>
      <c r="W110" s="812">
        <v>1671215.9</v>
      </c>
      <c r="X110" s="812">
        <f>835607.95+835607.95</f>
        <v>1671215.9</v>
      </c>
      <c r="Y110" s="812">
        <v>1779388.1</v>
      </c>
      <c r="Z110" s="812">
        <v>889696.55</v>
      </c>
      <c r="AA110" s="812">
        <v>1778580.69</v>
      </c>
      <c r="AB110" s="782">
        <f t="shared" si="9"/>
        <v>2668277.2400000002</v>
      </c>
      <c r="AC110" s="705"/>
      <c r="AD110" s="476">
        <f t="shared" si="12"/>
        <v>1568632.6400000001</v>
      </c>
      <c r="AE110" s="488"/>
      <c r="AF110" s="476">
        <f t="shared" si="13"/>
        <v>18839572.960000001</v>
      </c>
      <c r="AG110" s="537">
        <f t="shared" si="10"/>
        <v>17739928.359999999</v>
      </c>
      <c r="AH110" s="474">
        <f t="shared" si="11"/>
        <v>2668277.2400000021</v>
      </c>
    </row>
    <row r="111" spans="1:34" ht="19" thickBot="1" x14ac:dyDescent="0.5">
      <c r="A111" s="643" t="s">
        <v>487</v>
      </c>
      <c r="B111" s="811">
        <v>17873.900000000001</v>
      </c>
      <c r="C111" s="810"/>
      <c r="D111" s="811"/>
      <c r="E111" s="811"/>
      <c r="F111" s="811"/>
      <c r="G111" s="812">
        <v>0</v>
      </c>
      <c r="H111" s="811"/>
      <c r="I111" s="811"/>
      <c r="J111" s="811"/>
      <c r="K111" s="811">
        <v>0</v>
      </c>
      <c r="L111" s="811"/>
      <c r="M111" s="811">
        <v>0</v>
      </c>
      <c r="N111" s="811"/>
      <c r="O111" s="811"/>
      <c r="P111" s="812"/>
      <c r="Q111" s="812"/>
      <c r="R111" s="812"/>
      <c r="S111" s="818"/>
      <c r="T111" s="812"/>
      <c r="U111" s="812"/>
      <c r="V111" s="812"/>
      <c r="W111" s="812"/>
      <c r="X111" s="812"/>
      <c r="Y111" s="812"/>
      <c r="Z111" s="812"/>
      <c r="AA111" s="812">
        <v>0</v>
      </c>
      <c r="AB111" s="782">
        <f t="shared" si="9"/>
        <v>17873.900000000001</v>
      </c>
      <c r="AC111" s="705"/>
      <c r="AD111" s="476">
        <f t="shared" si="12"/>
        <v>17873.900000000001</v>
      </c>
      <c r="AE111" s="488"/>
      <c r="AF111" s="476">
        <f t="shared" si="13"/>
        <v>0</v>
      </c>
      <c r="AG111" s="537">
        <f t="shared" si="10"/>
        <v>0</v>
      </c>
      <c r="AH111" s="485">
        <f t="shared" si="11"/>
        <v>17873.900000000001</v>
      </c>
    </row>
    <row r="112" spans="1:34" ht="19" thickBot="1" x14ac:dyDescent="0.5">
      <c r="A112" s="820" t="s">
        <v>6</v>
      </c>
      <c r="B112" s="821">
        <v>162183185.32590023</v>
      </c>
      <c r="C112" s="822"/>
      <c r="D112" s="823">
        <f t="shared" ref="D112:Q112" si="14">SUM(D6:D111)</f>
        <v>34695148.740000002</v>
      </c>
      <c r="E112" s="823">
        <f t="shared" si="14"/>
        <v>71597969.589999974</v>
      </c>
      <c r="F112" s="824">
        <f t="shared" si="14"/>
        <v>97720648.479999974</v>
      </c>
      <c r="G112" s="825">
        <f t="shared" si="14"/>
        <v>72658719.01000002</v>
      </c>
      <c r="H112" s="826">
        <f t="shared" si="14"/>
        <v>48586099.120000005</v>
      </c>
      <c r="I112" s="824">
        <f t="shared" si="14"/>
        <v>82223533.659999952</v>
      </c>
      <c r="J112" s="821">
        <f t="shared" si="14"/>
        <v>98592676.750000015</v>
      </c>
      <c r="K112" s="821">
        <f t="shared" si="14"/>
        <v>72488885.370000005</v>
      </c>
      <c r="L112" s="826">
        <f t="shared" si="14"/>
        <v>79895390.899999991</v>
      </c>
      <c r="M112" s="823">
        <f t="shared" si="14"/>
        <v>75196181.700000018</v>
      </c>
      <c r="N112" s="823">
        <f t="shared" si="14"/>
        <v>64176721.190000013</v>
      </c>
      <c r="O112" s="827">
        <f t="shared" si="14"/>
        <v>77546931.620000005</v>
      </c>
      <c r="P112" s="825">
        <f t="shared" si="14"/>
        <v>95797185.299999997</v>
      </c>
      <c r="Q112" s="828">
        <f t="shared" si="14"/>
        <v>76582428.059999973</v>
      </c>
      <c r="R112" s="825">
        <f>SUM(R6:R111)</f>
        <v>98103018.370000005</v>
      </c>
      <c r="S112" s="828">
        <f t="shared" ref="S112:X112" si="15">SUM(S6:S111)</f>
        <v>81549090.700000003</v>
      </c>
      <c r="T112" s="825">
        <f t="shared" si="15"/>
        <v>64447232.530000009</v>
      </c>
      <c r="U112" s="828">
        <f t="shared" si="15"/>
        <v>79509726.37999998</v>
      </c>
      <c r="V112" s="825">
        <f t="shared" si="15"/>
        <v>57675745.260000005</v>
      </c>
      <c r="W112" s="829">
        <v>73601242.190000013</v>
      </c>
      <c r="X112" s="825">
        <f t="shared" si="15"/>
        <v>66274157.620000005</v>
      </c>
      <c r="Y112" s="828">
        <v>78252056.75000003</v>
      </c>
      <c r="Z112" s="825">
        <f>SUM(Z6:Z111)</f>
        <v>127274765.86000003</v>
      </c>
      <c r="AA112" s="829">
        <f>SUM(AA6:AA111)</f>
        <v>81723393.439999938</v>
      </c>
      <c r="AB112" s="821">
        <f>SUM(AB6:AB111)</f>
        <v>151874553.67590007</v>
      </c>
      <c r="AC112" s="706"/>
      <c r="AD112" s="492">
        <f>SUM(AD6:AD111)</f>
        <v>162183185.32590023</v>
      </c>
      <c r="AE112" s="492"/>
      <c r="AF112" s="492">
        <f>SUM(AF6:AF111)</f>
        <v>922930158.47000015</v>
      </c>
      <c r="AG112" s="498">
        <f>SUM(AG6:AG111)</f>
        <v>933238790.12</v>
      </c>
      <c r="AH112" s="492">
        <f t="shared" si="11"/>
        <v>151874553.67590034</v>
      </c>
    </row>
    <row r="113" spans="1:34" x14ac:dyDescent="0.45">
      <c r="A113" s="830"/>
      <c r="B113" s="831"/>
      <c r="J113" s="578"/>
      <c r="P113" s="832"/>
      <c r="Q113" s="833"/>
      <c r="R113" s="832"/>
      <c r="S113" s="832"/>
      <c r="T113" s="832"/>
      <c r="U113" s="832"/>
      <c r="V113" s="832"/>
      <c r="W113" s="832"/>
      <c r="X113" s="834"/>
      <c r="Y113" s="832"/>
      <c r="Z113" s="832"/>
      <c r="AA113" s="834"/>
      <c r="AB113" s="776"/>
      <c r="AC113" s="473"/>
      <c r="AH113" s="473"/>
    </row>
    <row r="114" spans="1:34" ht="21.5" thickBot="1" x14ac:dyDescent="0.55000000000000004">
      <c r="A114" s="835" t="s">
        <v>317</v>
      </c>
      <c r="B114" s="762"/>
      <c r="C114" s="762"/>
      <c r="D114" s="836"/>
      <c r="E114" s="763">
        <v>288729.02</v>
      </c>
      <c r="G114" s="764">
        <v>327327.3</v>
      </c>
      <c r="I114" s="763">
        <v>399260.39999999997</v>
      </c>
      <c r="K114" s="763">
        <v>213910.96</v>
      </c>
      <c r="M114" s="763">
        <v>318140.90999999997</v>
      </c>
      <c r="O114" s="837">
        <v>280381.59999999998</v>
      </c>
      <c r="P114" s="832"/>
      <c r="Q114" s="834">
        <v>301370.60000000003</v>
      </c>
      <c r="R114" s="832"/>
      <c r="S114" s="764">
        <v>344616.8</v>
      </c>
      <c r="T114" s="832"/>
      <c r="U114" s="832">
        <v>289251.84000000003</v>
      </c>
      <c r="V114" s="832"/>
      <c r="W114" s="837"/>
      <c r="X114" s="832"/>
      <c r="Y114" s="832"/>
      <c r="Z114" s="832"/>
      <c r="AA114" s="832">
        <v>444537.13999999996</v>
      </c>
      <c r="AB114" s="838"/>
      <c r="AC114" s="696"/>
      <c r="AD114" s="696"/>
      <c r="AE114" s="696"/>
      <c r="AF114" s="696"/>
      <c r="AG114" s="501"/>
      <c r="AH114" s="696"/>
    </row>
    <row r="115" spans="1:34" ht="19" thickBot="1" x14ac:dyDescent="0.5">
      <c r="A115" s="835" t="s">
        <v>318</v>
      </c>
      <c r="B115" s="839"/>
      <c r="C115" s="839"/>
      <c r="D115" s="840"/>
      <c r="E115" s="840">
        <f>E112+E114</f>
        <v>71886698.60999997</v>
      </c>
      <c r="F115" s="840"/>
      <c r="G115" s="841">
        <f>G112+G114</f>
        <v>72986046.310000017</v>
      </c>
      <c r="H115" s="840"/>
      <c r="I115" s="840">
        <f>I112+I114</f>
        <v>82622794.059999958</v>
      </c>
      <c r="J115" s="842"/>
      <c r="K115" s="840">
        <f>K112+K114</f>
        <v>72702796.329999998</v>
      </c>
      <c r="L115" s="840"/>
      <c r="M115" s="840">
        <f>M112+M114</f>
        <v>75514322.610000014</v>
      </c>
      <c r="N115" s="840"/>
      <c r="O115" s="840">
        <f>O112+O114</f>
        <v>77827313.219999999</v>
      </c>
      <c r="P115" s="832"/>
      <c r="Q115" s="834">
        <f>Q112+Q114</f>
        <v>76883798.659999967</v>
      </c>
      <c r="R115" s="832"/>
      <c r="S115" s="839">
        <f>S112+S114</f>
        <v>81893707.5</v>
      </c>
      <c r="T115" s="832"/>
      <c r="U115" s="834">
        <f>U112+U114</f>
        <v>79798978.219999984</v>
      </c>
      <c r="V115" s="832"/>
      <c r="W115" s="834"/>
      <c r="X115" s="832"/>
      <c r="Y115" s="834"/>
      <c r="Z115" s="834"/>
      <c r="AA115" s="834">
        <f>AA112+AA114</f>
        <v>82167930.579999939</v>
      </c>
      <c r="AB115" s="898"/>
      <c r="AC115" s="508"/>
      <c r="AD115" s="508"/>
      <c r="AE115" s="508"/>
      <c r="AF115" s="508"/>
      <c r="AG115" s="501"/>
      <c r="AH115" s="508"/>
    </row>
    <row r="116" spans="1:34" ht="21.5" thickTop="1" x14ac:dyDescent="0.5">
      <c r="B116" s="843"/>
      <c r="L116" s="844"/>
      <c r="Q116" s="845"/>
      <c r="R116" s="832"/>
      <c r="S116" s="832"/>
      <c r="T116" s="832"/>
      <c r="U116" s="832"/>
      <c r="V116" s="832"/>
      <c r="W116" s="832"/>
      <c r="Y116" s="832"/>
      <c r="Z116" s="892"/>
      <c r="AA116" s="832"/>
      <c r="AB116" s="846"/>
      <c r="AC116" s="699"/>
      <c r="AD116" s="473"/>
      <c r="AE116" s="473"/>
      <c r="AF116" s="473"/>
      <c r="AG116" s="501"/>
      <c r="AH116" s="473"/>
    </row>
    <row r="117" spans="1:34" x14ac:dyDescent="0.45">
      <c r="Q117" s="764"/>
      <c r="Y117" s="847"/>
      <c r="Z117" s="832"/>
      <c r="AA117" s="832"/>
      <c r="AB117" s="848"/>
      <c r="AC117" s="473"/>
      <c r="AD117" s="473"/>
      <c r="AE117" s="473"/>
      <c r="AF117" s="473"/>
      <c r="AG117" s="501"/>
      <c r="AH117" s="473"/>
    </row>
    <row r="118" spans="1:34" x14ac:dyDescent="0.45">
      <c r="B118" s="843"/>
      <c r="Q118" s="762"/>
      <c r="Y118" s="832"/>
      <c r="Z118" s="832"/>
      <c r="AA118" s="832"/>
      <c r="AB118" s="776"/>
      <c r="AC118" s="473"/>
      <c r="AD118" s="473"/>
      <c r="AE118" s="473"/>
      <c r="AF118" s="473"/>
      <c r="AG118" s="501"/>
      <c r="AH118" s="473"/>
    </row>
    <row r="119" spans="1:34" x14ac:dyDescent="0.45">
      <c r="E119" s="848"/>
      <c r="Y119" s="832"/>
      <c r="Z119" s="832"/>
      <c r="AA119" s="832"/>
      <c r="AB119" s="776"/>
      <c r="AC119" s="473"/>
      <c r="AD119" s="473"/>
      <c r="AE119" s="473"/>
      <c r="AF119" s="473"/>
      <c r="AG119" s="501"/>
      <c r="AH119" s="473"/>
    </row>
    <row r="120" spans="1:34" s="682" customFormat="1" x14ac:dyDescent="0.45">
      <c r="A120" s="551"/>
      <c r="B120" s="551"/>
      <c r="C120" s="551"/>
      <c r="D120" s="763"/>
      <c r="E120" s="848"/>
      <c r="F120" s="763"/>
      <c r="G120" s="764"/>
      <c r="H120" s="763"/>
      <c r="I120" s="763"/>
      <c r="J120" s="763"/>
      <c r="K120" s="763"/>
      <c r="L120" s="763"/>
      <c r="M120" s="763"/>
      <c r="N120" s="763"/>
      <c r="O120" s="763"/>
      <c r="P120" s="764"/>
      <c r="Q120" s="551"/>
      <c r="R120" s="764"/>
      <c r="S120" s="764"/>
      <c r="T120" s="764"/>
      <c r="U120" s="764"/>
      <c r="V120" s="764"/>
      <c r="W120" s="764"/>
      <c r="X120" s="764"/>
      <c r="Y120" s="832"/>
      <c r="Z120" s="832"/>
      <c r="AA120" s="832"/>
      <c r="AB120" s="776"/>
      <c r="AC120" s="473"/>
      <c r="AD120" s="473"/>
      <c r="AE120" s="473"/>
      <c r="AF120" s="473"/>
      <c r="AG120" s="501"/>
      <c r="AH120" s="473"/>
    </row>
    <row r="121" spans="1:34" x14ac:dyDescent="0.45">
      <c r="Y121" s="832"/>
      <c r="Z121" s="832"/>
      <c r="AA121" s="832"/>
      <c r="AB121" s="776"/>
      <c r="AC121" s="473"/>
      <c r="AD121" s="473"/>
      <c r="AE121" s="473"/>
      <c r="AF121" s="473"/>
      <c r="AG121" s="501"/>
      <c r="AH121" s="473"/>
    </row>
  </sheetData>
  <mergeCells count="1">
    <mergeCell ref="A1:A2"/>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803D2-F144-4BE9-96CE-9247A7EF15D4}">
  <dimension ref="A1:F352"/>
  <sheetViews>
    <sheetView topLeftCell="A46" workbookViewId="0">
      <selection activeCell="E64" sqref="E64"/>
    </sheetView>
  </sheetViews>
  <sheetFormatPr defaultRowHeight="14.5" x14ac:dyDescent="0.35"/>
  <cols>
    <col min="1" max="1" width="56.81640625" style="682" bestFit="1" customWidth="1"/>
    <col min="2" max="2" width="19.36328125" style="682" customWidth="1"/>
    <col min="3" max="3" width="8.90625" style="682"/>
    <col min="4" max="4" width="17.81640625" style="327" customWidth="1"/>
    <col min="6" max="6" width="13.81640625" bestFit="1" customWidth="1"/>
  </cols>
  <sheetData>
    <row r="1" spans="1:4" x14ac:dyDescent="0.35">
      <c r="A1" s="682" t="s">
        <v>1</v>
      </c>
      <c r="B1" s="682" t="s">
        <v>704</v>
      </c>
      <c r="C1" s="682" t="s">
        <v>705</v>
      </c>
      <c r="D1" s="327" t="s">
        <v>588</v>
      </c>
    </row>
    <row r="2" spans="1:4" x14ac:dyDescent="0.35">
      <c r="A2" s="642" t="s">
        <v>706</v>
      </c>
      <c r="B2" s="854">
        <v>44651</v>
      </c>
      <c r="C2" s="642" t="s">
        <v>707</v>
      </c>
      <c r="D2" s="891">
        <v>8553</v>
      </c>
    </row>
    <row r="3" spans="1:4" x14ac:dyDescent="0.35">
      <c r="A3" s="642" t="s">
        <v>769</v>
      </c>
      <c r="B3" s="854"/>
      <c r="C3" s="642"/>
      <c r="D3" s="891">
        <f>SUM(D2)</f>
        <v>8553</v>
      </c>
    </row>
    <row r="4" spans="1:4" x14ac:dyDescent="0.35">
      <c r="B4" s="853"/>
    </row>
    <row r="5" spans="1:4" x14ac:dyDescent="0.35">
      <c r="A5" s="642" t="s">
        <v>708</v>
      </c>
      <c r="B5" s="854">
        <v>44651</v>
      </c>
      <c r="C5" s="642" t="s">
        <v>719</v>
      </c>
      <c r="D5" s="891">
        <v>5440.75</v>
      </c>
    </row>
    <row r="6" spans="1:4" x14ac:dyDescent="0.35">
      <c r="A6" s="642" t="s">
        <v>769</v>
      </c>
      <c r="B6" s="854"/>
      <c r="C6" s="642"/>
      <c r="D6" s="891">
        <f>SUM(D5)</f>
        <v>5440.75</v>
      </c>
    </row>
    <row r="7" spans="1:4" x14ac:dyDescent="0.35">
      <c r="B7" s="853"/>
    </row>
    <row r="8" spans="1:4" x14ac:dyDescent="0.35">
      <c r="A8" s="642" t="s">
        <v>711</v>
      </c>
      <c r="B8" s="854">
        <v>44651</v>
      </c>
      <c r="C8" s="642" t="s">
        <v>714</v>
      </c>
      <c r="D8" s="891">
        <v>2324019.87</v>
      </c>
    </row>
    <row r="9" spans="1:4" x14ac:dyDescent="0.35">
      <c r="A9" s="642" t="s">
        <v>711</v>
      </c>
      <c r="B9" s="854">
        <v>44651</v>
      </c>
      <c r="C9" s="642" t="s">
        <v>713</v>
      </c>
      <c r="D9" s="891">
        <v>69693.8</v>
      </c>
    </row>
    <row r="10" spans="1:4" x14ac:dyDescent="0.35">
      <c r="A10" s="642" t="s">
        <v>711</v>
      </c>
      <c r="B10" s="854">
        <v>44651</v>
      </c>
      <c r="C10" s="642" t="s">
        <v>718</v>
      </c>
      <c r="D10" s="891">
        <v>-33520</v>
      </c>
    </row>
    <row r="11" spans="1:4" x14ac:dyDescent="0.35">
      <c r="A11" s="642" t="s">
        <v>711</v>
      </c>
      <c r="B11" s="854">
        <v>44651</v>
      </c>
      <c r="C11" s="642" t="s">
        <v>709</v>
      </c>
      <c r="D11" s="891">
        <v>42505.99</v>
      </c>
    </row>
    <row r="12" spans="1:4" x14ac:dyDescent="0.35">
      <c r="A12" s="642" t="s">
        <v>711</v>
      </c>
      <c r="B12" s="854">
        <v>44651</v>
      </c>
      <c r="C12" s="642" t="s">
        <v>707</v>
      </c>
      <c r="D12" s="891">
        <v>5887694</v>
      </c>
    </row>
    <row r="13" spans="1:4" x14ac:dyDescent="0.35">
      <c r="A13" s="642" t="s">
        <v>711</v>
      </c>
      <c r="B13" s="854">
        <v>44651</v>
      </c>
      <c r="C13" s="642" t="s">
        <v>712</v>
      </c>
      <c r="D13" s="891">
        <v>5447.2</v>
      </c>
    </row>
    <row r="14" spans="1:4" x14ac:dyDescent="0.35">
      <c r="A14" s="642" t="s">
        <v>769</v>
      </c>
      <c r="B14" s="854"/>
      <c r="C14" s="642"/>
      <c r="D14" s="891">
        <f>SUM(D8:D13)</f>
        <v>8295840.8600000003</v>
      </c>
    </row>
    <row r="15" spans="1:4" x14ac:dyDescent="0.35">
      <c r="B15" s="853"/>
    </row>
    <row r="16" spans="1:4" x14ac:dyDescent="0.35">
      <c r="A16" s="642" t="s">
        <v>715</v>
      </c>
      <c r="B16" s="854">
        <v>44651</v>
      </c>
      <c r="C16" s="642" t="s">
        <v>707</v>
      </c>
      <c r="D16" s="891">
        <v>556937</v>
      </c>
    </row>
    <row r="17" spans="1:4" x14ac:dyDescent="0.35">
      <c r="A17" s="642" t="s">
        <v>715</v>
      </c>
      <c r="B17" s="854">
        <v>44651</v>
      </c>
      <c r="C17" s="642" t="s">
        <v>709</v>
      </c>
      <c r="D17" s="891">
        <v>253213.12</v>
      </c>
    </row>
    <row r="18" spans="1:4" x14ac:dyDescent="0.35">
      <c r="A18" s="642" t="s">
        <v>715</v>
      </c>
      <c r="B18" s="854">
        <v>44651</v>
      </c>
      <c r="C18" s="642" t="s">
        <v>713</v>
      </c>
      <c r="D18" s="891">
        <v>4274</v>
      </c>
    </row>
    <row r="19" spans="1:4" x14ac:dyDescent="0.35">
      <c r="A19" s="642" t="s">
        <v>715</v>
      </c>
      <c r="B19" s="854">
        <v>44651</v>
      </c>
      <c r="C19" s="642" t="s">
        <v>712</v>
      </c>
      <c r="D19" s="891">
        <v>297</v>
      </c>
    </row>
    <row r="20" spans="1:4" x14ac:dyDescent="0.35">
      <c r="A20" s="642" t="s">
        <v>715</v>
      </c>
      <c r="B20" s="854">
        <v>44651</v>
      </c>
      <c r="C20" s="642" t="s">
        <v>714</v>
      </c>
      <c r="D20" s="891">
        <v>181358.5</v>
      </c>
    </row>
    <row r="21" spans="1:4" x14ac:dyDescent="0.35">
      <c r="A21" s="642" t="s">
        <v>769</v>
      </c>
      <c r="B21" s="854"/>
      <c r="C21" s="642"/>
      <c r="D21" s="891">
        <f>SUM(D16:D20)</f>
        <v>996079.62</v>
      </c>
    </row>
    <row r="22" spans="1:4" x14ac:dyDescent="0.35">
      <c r="B22" s="853"/>
    </row>
    <row r="23" spans="1:4" x14ac:dyDescent="0.35">
      <c r="A23" s="642" t="s">
        <v>716</v>
      </c>
      <c r="B23" s="854">
        <v>44651</v>
      </c>
      <c r="C23" s="642" t="s">
        <v>712</v>
      </c>
      <c r="D23" s="891">
        <v>85</v>
      </c>
    </row>
    <row r="24" spans="1:4" x14ac:dyDescent="0.35">
      <c r="A24" s="642" t="s">
        <v>716</v>
      </c>
      <c r="B24" s="854">
        <v>44651</v>
      </c>
      <c r="C24" s="642" t="s">
        <v>719</v>
      </c>
      <c r="D24" s="891">
        <v>27274.36</v>
      </c>
    </row>
    <row r="25" spans="1:4" x14ac:dyDescent="0.35">
      <c r="A25" s="642" t="s">
        <v>716</v>
      </c>
      <c r="B25" s="854">
        <v>44651</v>
      </c>
      <c r="C25" s="642" t="s">
        <v>713</v>
      </c>
      <c r="D25" s="891">
        <v>3138</v>
      </c>
    </row>
    <row r="26" spans="1:4" x14ac:dyDescent="0.35">
      <c r="A26" s="642" t="s">
        <v>716</v>
      </c>
      <c r="B26" s="854">
        <v>44651</v>
      </c>
      <c r="C26" s="642" t="s">
        <v>707</v>
      </c>
      <c r="D26" s="891">
        <v>547364</v>
      </c>
    </row>
    <row r="27" spans="1:4" x14ac:dyDescent="0.35">
      <c r="A27" s="642" t="s">
        <v>716</v>
      </c>
      <c r="B27" s="854">
        <v>44651</v>
      </c>
      <c r="C27" s="642" t="s">
        <v>718</v>
      </c>
      <c r="D27" s="891">
        <v>-65085</v>
      </c>
    </row>
    <row r="28" spans="1:4" x14ac:dyDescent="0.35">
      <c r="A28" s="642" t="s">
        <v>716</v>
      </c>
      <c r="B28" s="854">
        <v>44651</v>
      </c>
      <c r="C28" s="642" t="s">
        <v>714</v>
      </c>
      <c r="D28" s="891">
        <v>220906.55</v>
      </c>
    </row>
    <row r="29" spans="1:4" x14ac:dyDescent="0.35">
      <c r="A29" s="642" t="s">
        <v>769</v>
      </c>
      <c r="B29" s="854"/>
      <c r="C29" s="642"/>
      <c r="D29" s="891">
        <f>SUM(D23:D28)</f>
        <v>733682.90999999992</v>
      </c>
    </row>
    <row r="30" spans="1:4" x14ac:dyDescent="0.35">
      <c r="A30" s="642"/>
      <c r="B30" s="854"/>
      <c r="C30" s="642"/>
      <c r="D30" s="891"/>
    </row>
    <row r="31" spans="1:4" x14ac:dyDescent="0.35">
      <c r="A31" s="642" t="s">
        <v>717</v>
      </c>
      <c r="B31" s="854">
        <v>44651</v>
      </c>
      <c r="C31" s="642" t="s">
        <v>713</v>
      </c>
      <c r="D31" s="891">
        <v>41406.1</v>
      </c>
    </row>
    <row r="32" spans="1:4" x14ac:dyDescent="0.35">
      <c r="A32" s="642" t="s">
        <v>717</v>
      </c>
      <c r="B32" s="854">
        <v>44651</v>
      </c>
      <c r="C32" s="642" t="s">
        <v>709</v>
      </c>
      <c r="D32" s="891">
        <v>383156.06</v>
      </c>
    </row>
    <row r="33" spans="1:4" x14ac:dyDescent="0.35">
      <c r="A33" s="642" t="s">
        <v>717</v>
      </c>
      <c r="B33" s="854">
        <v>44651</v>
      </c>
      <c r="C33" s="642" t="s">
        <v>707</v>
      </c>
      <c r="D33" s="891">
        <v>5958365</v>
      </c>
    </row>
    <row r="34" spans="1:4" x14ac:dyDescent="0.35">
      <c r="A34" s="642" t="s">
        <v>717</v>
      </c>
      <c r="B34" s="854">
        <v>44651</v>
      </c>
      <c r="C34" s="642" t="s">
        <v>710</v>
      </c>
      <c r="D34" s="891">
        <v>0</v>
      </c>
    </row>
    <row r="35" spans="1:4" x14ac:dyDescent="0.35">
      <c r="A35" s="642" t="s">
        <v>717</v>
      </c>
      <c r="B35" s="854">
        <v>44651</v>
      </c>
      <c r="C35" s="642" t="s">
        <v>714</v>
      </c>
      <c r="D35" s="891">
        <v>1459698.27</v>
      </c>
    </row>
    <row r="36" spans="1:4" x14ac:dyDescent="0.35">
      <c r="A36" s="642" t="s">
        <v>717</v>
      </c>
      <c r="B36" s="854">
        <v>44651</v>
      </c>
      <c r="C36" s="642" t="s">
        <v>712</v>
      </c>
      <c r="D36" s="891">
        <v>43775</v>
      </c>
    </row>
    <row r="37" spans="1:4" x14ac:dyDescent="0.35">
      <c r="A37" s="642" t="s">
        <v>717</v>
      </c>
      <c r="B37" s="854">
        <v>44651</v>
      </c>
      <c r="C37" s="642" t="s">
        <v>718</v>
      </c>
      <c r="D37" s="891">
        <v>-360259</v>
      </c>
    </row>
    <row r="38" spans="1:4" x14ac:dyDescent="0.35">
      <c r="A38" s="642" t="s">
        <v>769</v>
      </c>
      <c r="B38" s="854"/>
      <c r="C38" s="642"/>
      <c r="D38" s="891">
        <f>SUM(D31:D37)</f>
        <v>7526141.4299999997</v>
      </c>
    </row>
    <row r="39" spans="1:4" x14ac:dyDescent="0.35">
      <c r="A39" s="642"/>
      <c r="B39" s="854"/>
      <c r="C39" s="642"/>
      <c r="D39" s="891"/>
    </row>
    <row r="40" spans="1:4" x14ac:dyDescent="0.35">
      <c r="A40" s="642" t="s">
        <v>720</v>
      </c>
      <c r="B40" s="854">
        <v>44651</v>
      </c>
      <c r="C40" s="642" t="s">
        <v>712</v>
      </c>
      <c r="D40" s="891">
        <v>387.6</v>
      </c>
    </row>
    <row r="41" spans="1:4" x14ac:dyDescent="0.35">
      <c r="A41" s="642" t="s">
        <v>720</v>
      </c>
      <c r="B41" s="854">
        <v>44651</v>
      </c>
      <c r="C41" s="642" t="s">
        <v>707</v>
      </c>
      <c r="D41" s="891">
        <v>169945</v>
      </c>
    </row>
    <row r="42" spans="1:4" x14ac:dyDescent="0.35">
      <c r="A42" s="642" t="s">
        <v>720</v>
      </c>
      <c r="B42" s="854">
        <v>44651</v>
      </c>
      <c r="C42" s="642" t="s">
        <v>713</v>
      </c>
      <c r="D42" s="891">
        <v>5259.9</v>
      </c>
    </row>
    <row r="43" spans="1:4" x14ac:dyDescent="0.35">
      <c r="A43" s="642" t="s">
        <v>720</v>
      </c>
      <c r="B43" s="854">
        <v>44651</v>
      </c>
      <c r="C43" s="642" t="s">
        <v>709</v>
      </c>
      <c r="D43" s="891">
        <v>227394.54</v>
      </c>
    </row>
    <row r="44" spans="1:4" x14ac:dyDescent="0.35">
      <c r="A44" s="642" t="s">
        <v>720</v>
      </c>
      <c r="B44" s="854">
        <v>44651</v>
      </c>
      <c r="C44" s="642" t="s">
        <v>714</v>
      </c>
      <c r="D44" s="891">
        <v>88544.04</v>
      </c>
    </row>
    <row r="45" spans="1:4" x14ac:dyDescent="0.35">
      <c r="A45" s="642" t="s">
        <v>769</v>
      </c>
      <c r="B45" s="854"/>
      <c r="C45" s="642"/>
      <c r="D45" s="891">
        <f>SUM(D40:D44)</f>
        <v>491531.08</v>
      </c>
    </row>
    <row r="46" spans="1:4" x14ac:dyDescent="0.35">
      <c r="B46" s="853"/>
    </row>
    <row r="47" spans="1:4" x14ac:dyDescent="0.35">
      <c r="A47" s="682" t="s">
        <v>721</v>
      </c>
      <c r="B47" s="853">
        <v>44651</v>
      </c>
      <c r="C47" s="682" t="s">
        <v>713</v>
      </c>
      <c r="D47" s="327">
        <v>15592.1</v>
      </c>
    </row>
    <row r="48" spans="1:4" x14ac:dyDescent="0.35">
      <c r="A48" s="682" t="s">
        <v>721</v>
      </c>
      <c r="B48" s="853">
        <v>44651</v>
      </c>
      <c r="C48" s="682" t="s">
        <v>709</v>
      </c>
      <c r="D48" s="327">
        <v>0</v>
      </c>
    </row>
    <row r="49" spans="1:4" x14ac:dyDescent="0.35">
      <c r="A49" s="682" t="s">
        <v>721</v>
      </c>
      <c r="B49" s="853">
        <v>44651</v>
      </c>
      <c r="C49" s="682" t="s">
        <v>707</v>
      </c>
      <c r="D49" s="327">
        <v>0</v>
      </c>
    </row>
    <row r="50" spans="1:4" x14ac:dyDescent="0.35">
      <c r="A50" s="682" t="s">
        <v>721</v>
      </c>
      <c r="B50" s="853">
        <v>44651</v>
      </c>
      <c r="C50" s="682" t="s">
        <v>719</v>
      </c>
      <c r="D50" s="327">
        <v>0</v>
      </c>
    </row>
    <row r="51" spans="1:4" x14ac:dyDescent="0.35">
      <c r="A51" s="682" t="s">
        <v>721</v>
      </c>
      <c r="B51" s="853">
        <v>44651</v>
      </c>
      <c r="C51" s="682" t="s">
        <v>712</v>
      </c>
      <c r="D51" s="327">
        <v>3732</v>
      </c>
    </row>
    <row r="52" spans="1:4" x14ac:dyDescent="0.35">
      <c r="A52" s="682" t="s">
        <v>721</v>
      </c>
      <c r="B52" s="853">
        <v>44651</v>
      </c>
      <c r="C52" s="682" t="s">
        <v>714</v>
      </c>
      <c r="D52" s="327">
        <v>425213.04</v>
      </c>
    </row>
    <row r="53" spans="1:4" x14ac:dyDescent="0.35">
      <c r="A53" s="682" t="s">
        <v>721</v>
      </c>
      <c r="B53" s="853">
        <v>44651</v>
      </c>
      <c r="C53" s="682" t="s">
        <v>718</v>
      </c>
      <c r="D53" s="327">
        <v>0</v>
      </c>
    </row>
    <row r="54" spans="1:4" x14ac:dyDescent="0.35">
      <c r="A54" s="682" t="s">
        <v>769</v>
      </c>
      <c r="B54" s="853"/>
      <c r="D54" s="327">
        <f>SUM(D47:D53)</f>
        <v>444537.13999999996</v>
      </c>
    </row>
    <row r="55" spans="1:4" x14ac:dyDescent="0.35">
      <c r="B55" s="853"/>
    </row>
    <row r="56" spans="1:4" x14ac:dyDescent="0.35">
      <c r="A56" s="642" t="s">
        <v>723</v>
      </c>
      <c r="B56" s="854">
        <v>44651</v>
      </c>
      <c r="C56" s="642" t="s">
        <v>707</v>
      </c>
      <c r="D56" s="891">
        <v>13371024.92</v>
      </c>
    </row>
    <row r="57" spans="1:4" x14ac:dyDescent="0.35">
      <c r="A57" s="642" t="s">
        <v>723</v>
      </c>
      <c r="B57" s="854">
        <v>44651</v>
      </c>
      <c r="C57" s="642" t="s">
        <v>712</v>
      </c>
      <c r="D57" s="891">
        <v>8164</v>
      </c>
    </row>
    <row r="58" spans="1:4" x14ac:dyDescent="0.35">
      <c r="A58" s="642" t="s">
        <v>723</v>
      </c>
      <c r="B58" s="854">
        <v>44651</v>
      </c>
      <c r="C58" s="642" t="s">
        <v>713</v>
      </c>
      <c r="D58" s="891">
        <v>76194.8</v>
      </c>
    </row>
    <row r="59" spans="1:4" x14ac:dyDescent="0.35">
      <c r="A59" s="642" t="s">
        <v>723</v>
      </c>
      <c r="B59" s="854">
        <v>44651</v>
      </c>
      <c r="C59" s="642" t="s">
        <v>709</v>
      </c>
      <c r="D59" s="891">
        <v>1650744.67</v>
      </c>
    </row>
    <row r="60" spans="1:4" x14ac:dyDescent="0.35">
      <c r="A60" s="642" t="s">
        <v>723</v>
      </c>
      <c r="B60" s="854">
        <v>44651</v>
      </c>
      <c r="C60" s="642" t="s">
        <v>719</v>
      </c>
      <c r="D60" s="891">
        <v>11045.77</v>
      </c>
    </row>
    <row r="61" spans="1:4" x14ac:dyDescent="0.35">
      <c r="A61" s="642" t="s">
        <v>723</v>
      </c>
      <c r="B61" s="854">
        <v>44651</v>
      </c>
      <c r="C61" s="642" t="s">
        <v>714</v>
      </c>
      <c r="D61" s="891">
        <v>4638659.62</v>
      </c>
    </row>
    <row r="62" spans="1:4" x14ac:dyDescent="0.35">
      <c r="A62" s="642" t="s">
        <v>723</v>
      </c>
      <c r="B62" s="854">
        <v>44651</v>
      </c>
      <c r="C62" s="642" t="s">
        <v>724</v>
      </c>
      <c r="D62" s="891">
        <v>50411.45</v>
      </c>
    </row>
    <row r="63" spans="1:4" x14ac:dyDescent="0.35">
      <c r="A63" s="642" t="s">
        <v>769</v>
      </c>
      <c r="B63" s="854"/>
      <c r="C63" s="642"/>
      <c r="D63" s="891">
        <f>SUM(D56:D62)</f>
        <v>19806245.23</v>
      </c>
    </row>
    <row r="64" spans="1:4" x14ac:dyDescent="0.35">
      <c r="B64" s="853"/>
    </row>
    <row r="65" spans="1:4" x14ac:dyDescent="0.35">
      <c r="A65" s="642" t="s">
        <v>725</v>
      </c>
      <c r="B65" s="854">
        <v>44651</v>
      </c>
      <c r="C65" s="642" t="s">
        <v>712</v>
      </c>
      <c r="D65" s="891">
        <v>900.5</v>
      </c>
    </row>
    <row r="66" spans="1:4" x14ac:dyDescent="0.35">
      <c r="A66" s="642" t="s">
        <v>725</v>
      </c>
      <c r="B66" s="854">
        <v>44651</v>
      </c>
      <c r="C66" s="642" t="s">
        <v>707</v>
      </c>
      <c r="D66" s="891">
        <v>57707</v>
      </c>
    </row>
    <row r="67" spans="1:4" x14ac:dyDescent="0.35">
      <c r="A67" s="642" t="s">
        <v>725</v>
      </c>
      <c r="B67" s="854">
        <v>44651</v>
      </c>
      <c r="C67" s="642" t="s">
        <v>713</v>
      </c>
      <c r="D67" s="891">
        <v>8094</v>
      </c>
    </row>
    <row r="68" spans="1:4" x14ac:dyDescent="0.35">
      <c r="A68" s="642" t="s">
        <v>725</v>
      </c>
      <c r="B68" s="854">
        <v>44651</v>
      </c>
      <c r="C68" s="642" t="s">
        <v>709</v>
      </c>
      <c r="D68" s="891">
        <v>1236130.1200000001</v>
      </c>
    </row>
    <row r="69" spans="1:4" x14ac:dyDescent="0.35">
      <c r="A69" s="642" t="s">
        <v>725</v>
      </c>
      <c r="B69" s="854">
        <v>44651</v>
      </c>
      <c r="C69" s="642" t="s">
        <v>714</v>
      </c>
      <c r="D69" s="891">
        <v>438903.12</v>
      </c>
    </row>
    <row r="70" spans="1:4" x14ac:dyDescent="0.35">
      <c r="A70" s="642" t="s">
        <v>769</v>
      </c>
      <c r="B70" s="854"/>
      <c r="C70" s="642"/>
      <c r="D70" s="891">
        <f>SUM(D65:D69)</f>
        <v>1741734.7400000002</v>
      </c>
    </row>
    <row r="71" spans="1:4" x14ac:dyDescent="0.35">
      <c r="B71" s="853"/>
    </row>
    <row r="72" spans="1:4" x14ac:dyDescent="0.35">
      <c r="A72" s="642" t="s">
        <v>726</v>
      </c>
      <c r="B72" s="854">
        <v>44651</v>
      </c>
      <c r="C72" s="642" t="s">
        <v>713</v>
      </c>
      <c r="D72" s="891">
        <v>22487.3</v>
      </c>
    </row>
    <row r="73" spans="1:4" x14ac:dyDescent="0.35">
      <c r="A73" s="642" t="s">
        <v>726</v>
      </c>
      <c r="B73" s="854">
        <v>44651</v>
      </c>
      <c r="C73" s="642" t="s">
        <v>719</v>
      </c>
      <c r="D73" s="891">
        <v>23253.09</v>
      </c>
    </row>
    <row r="74" spans="1:4" x14ac:dyDescent="0.35">
      <c r="A74" s="642" t="s">
        <v>726</v>
      </c>
      <c r="B74" s="854">
        <v>44651</v>
      </c>
      <c r="C74" s="642" t="s">
        <v>709</v>
      </c>
      <c r="D74" s="891">
        <v>723785.93</v>
      </c>
    </row>
    <row r="75" spans="1:4" x14ac:dyDescent="0.35">
      <c r="A75" s="642" t="s">
        <v>726</v>
      </c>
      <c r="B75" s="854">
        <v>44651</v>
      </c>
      <c r="C75" s="642" t="s">
        <v>707</v>
      </c>
      <c r="D75" s="891">
        <v>1948139</v>
      </c>
    </row>
    <row r="76" spans="1:4" x14ac:dyDescent="0.35">
      <c r="A76" s="642" t="s">
        <v>726</v>
      </c>
      <c r="B76" s="854">
        <v>44651</v>
      </c>
      <c r="C76" s="642" t="s">
        <v>712</v>
      </c>
      <c r="D76" s="891">
        <v>3609.8</v>
      </c>
    </row>
    <row r="77" spans="1:4" x14ac:dyDescent="0.35">
      <c r="A77" s="642" t="s">
        <v>726</v>
      </c>
      <c r="B77" s="854">
        <v>44651</v>
      </c>
      <c r="C77" s="642" t="s">
        <v>714</v>
      </c>
      <c r="D77" s="891">
        <v>947077.75</v>
      </c>
    </row>
    <row r="78" spans="1:4" x14ac:dyDescent="0.35">
      <c r="A78" s="642" t="s">
        <v>726</v>
      </c>
      <c r="B78" s="854">
        <v>44651</v>
      </c>
      <c r="C78" s="642" t="s">
        <v>718</v>
      </c>
      <c r="D78" s="891">
        <v>-12634</v>
      </c>
    </row>
    <row r="79" spans="1:4" x14ac:dyDescent="0.35">
      <c r="A79" s="642" t="s">
        <v>769</v>
      </c>
      <c r="B79" s="854"/>
      <c r="C79" s="642"/>
      <c r="D79" s="891">
        <f>SUM(D72:D78)</f>
        <v>3655718.87</v>
      </c>
    </row>
    <row r="80" spans="1:4" x14ac:dyDescent="0.35">
      <c r="B80" s="853"/>
    </row>
    <row r="81" spans="1:4" x14ac:dyDescent="0.35">
      <c r="A81" s="642" t="s">
        <v>45</v>
      </c>
      <c r="B81" s="854">
        <v>44651</v>
      </c>
      <c r="C81" s="642" t="s">
        <v>713</v>
      </c>
      <c r="D81" s="891">
        <v>1026.5</v>
      </c>
    </row>
    <row r="82" spans="1:4" x14ac:dyDescent="0.35">
      <c r="A82" s="642" t="s">
        <v>45</v>
      </c>
      <c r="B82" s="854">
        <v>44651</v>
      </c>
      <c r="C82" s="642" t="s">
        <v>709</v>
      </c>
      <c r="D82" s="891">
        <v>66943.490000000005</v>
      </c>
    </row>
    <row r="83" spans="1:4" x14ac:dyDescent="0.35">
      <c r="A83" s="642" t="s">
        <v>45</v>
      </c>
      <c r="B83" s="854">
        <v>44651</v>
      </c>
      <c r="C83" s="642" t="s">
        <v>714</v>
      </c>
      <c r="D83" s="891">
        <v>29183.72</v>
      </c>
    </row>
    <row r="84" spans="1:4" x14ac:dyDescent="0.35">
      <c r="A84" s="642" t="s">
        <v>769</v>
      </c>
      <c r="B84" s="854"/>
      <c r="C84" s="642"/>
      <c r="D84" s="891">
        <f>SUM(D81:D83)</f>
        <v>97153.71</v>
      </c>
    </row>
    <row r="85" spans="1:4" x14ac:dyDescent="0.35">
      <c r="B85" s="853"/>
    </row>
    <row r="86" spans="1:4" x14ac:dyDescent="0.35">
      <c r="A86" s="642" t="s">
        <v>727</v>
      </c>
      <c r="B86" s="854">
        <v>44651</v>
      </c>
      <c r="C86" s="642" t="s">
        <v>712</v>
      </c>
      <c r="D86" s="891">
        <v>104</v>
      </c>
    </row>
    <row r="87" spans="1:4" x14ac:dyDescent="0.35">
      <c r="A87" s="642" t="s">
        <v>727</v>
      </c>
      <c r="B87" s="854">
        <v>44651</v>
      </c>
      <c r="C87" s="642" t="s">
        <v>714</v>
      </c>
      <c r="D87" s="891">
        <v>5910.85</v>
      </c>
    </row>
    <row r="88" spans="1:4" x14ac:dyDescent="0.35">
      <c r="A88" s="642" t="s">
        <v>727</v>
      </c>
      <c r="B88" s="854">
        <v>44651</v>
      </c>
      <c r="C88" s="642" t="s">
        <v>707</v>
      </c>
      <c r="D88" s="891">
        <v>45993</v>
      </c>
    </row>
    <row r="89" spans="1:4" x14ac:dyDescent="0.35">
      <c r="A89" s="642" t="s">
        <v>727</v>
      </c>
      <c r="B89" s="854">
        <v>44651</v>
      </c>
      <c r="C89" s="642" t="s">
        <v>713</v>
      </c>
      <c r="D89" s="891">
        <v>72</v>
      </c>
    </row>
    <row r="90" spans="1:4" x14ac:dyDescent="0.35">
      <c r="A90" s="642" t="s">
        <v>769</v>
      </c>
      <c r="B90" s="854"/>
      <c r="C90" s="642"/>
      <c r="D90" s="891">
        <f>SUM(D86:D89)</f>
        <v>52079.85</v>
      </c>
    </row>
    <row r="91" spans="1:4" x14ac:dyDescent="0.35">
      <c r="B91" s="853"/>
    </row>
    <row r="92" spans="1:4" x14ac:dyDescent="0.35">
      <c r="A92" s="642" t="s">
        <v>728</v>
      </c>
      <c r="B92" s="854">
        <v>44651</v>
      </c>
      <c r="C92" s="642" t="s">
        <v>707</v>
      </c>
      <c r="D92" s="891">
        <v>809250</v>
      </c>
    </row>
    <row r="93" spans="1:4" x14ac:dyDescent="0.35">
      <c r="A93" s="642" t="s">
        <v>728</v>
      </c>
      <c r="B93" s="854">
        <v>44651</v>
      </c>
      <c r="C93" s="642" t="s">
        <v>712</v>
      </c>
      <c r="D93" s="891">
        <v>402</v>
      </c>
    </row>
    <row r="94" spans="1:4" x14ac:dyDescent="0.35">
      <c r="A94" s="642" t="s">
        <v>728</v>
      </c>
      <c r="B94" s="854">
        <v>44651</v>
      </c>
      <c r="C94" s="642" t="s">
        <v>714</v>
      </c>
      <c r="D94" s="891">
        <v>353031.11</v>
      </c>
    </row>
    <row r="95" spans="1:4" x14ac:dyDescent="0.35">
      <c r="A95" s="642" t="s">
        <v>728</v>
      </c>
      <c r="B95" s="854">
        <v>44651</v>
      </c>
      <c r="C95" s="642" t="s">
        <v>719</v>
      </c>
      <c r="D95" s="891">
        <v>26611.59</v>
      </c>
    </row>
    <row r="96" spans="1:4" x14ac:dyDescent="0.35">
      <c r="A96" s="642" t="s">
        <v>728</v>
      </c>
      <c r="B96" s="854">
        <v>44651</v>
      </c>
      <c r="C96" s="642" t="s">
        <v>713</v>
      </c>
      <c r="D96" s="891">
        <v>6531.7</v>
      </c>
    </row>
    <row r="97" spans="1:4" x14ac:dyDescent="0.35">
      <c r="A97" s="642" t="s">
        <v>728</v>
      </c>
      <c r="B97" s="854">
        <v>44651</v>
      </c>
      <c r="C97" s="642" t="s">
        <v>709</v>
      </c>
      <c r="D97" s="891">
        <v>216592.8</v>
      </c>
    </row>
    <row r="98" spans="1:4" x14ac:dyDescent="0.35">
      <c r="A98" s="642" t="s">
        <v>769</v>
      </c>
      <c r="B98" s="854"/>
      <c r="C98" s="642"/>
      <c r="D98" s="891">
        <f>SUM(D92:D97)</f>
        <v>1412419.2</v>
      </c>
    </row>
    <row r="99" spans="1:4" x14ac:dyDescent="0.35">
      <c r="B99" s="853"/>
    </row>
    <row r="100" spans="1:4" x14ac:dyDescent="0.35">
      <c r="A100" s="642" t="s">
        <v>729</v>
      </c>
      <c r="B100" s="854">
        <v>44651</v>
      </c>
      <c r="C100" s="642" t="s">
        <v>707</v>
      </c>
      <c r="D100" s="891">
        <v>208113</v>
      </c>
    </row>
    <row r="101" spans="1:4" x14ac:dyDescent="0.35">
      <c r="A101" s="642" t="s">
        <v>729</v>
      </c>
      <c r="B101" s="854">
        <v>44651</v>
      </c>
      <c r="C101" s="642" t="s">
        <v>713</v>
      </c>
      <c r="D101" s="891">
        <v>797</v>
      </c>
    </row>
    <row r="102" spans="1:4" x14ac:dyDescent="0.35">
      <c r="A102" s="642" t="s">
        <v>729</v>
      </c>
      <c r="B102" s="854">
        <v>44651</v>
      </c>
      <c r="C102" s="642" t="s">
        <v>712</v>
      </c>
      <c r="D102" s="891">
        <v>295</v>
      </c>
    </row>
    <row r="103" spans="1:4" x14ac:dyDescent="0.35">
      <c r="A103" s="642" t="s">
        <v>729</v>
      </c>
      <c r="B103" s="854">
        <v>44651</v>
      </c>
      <c r="C103" s="642" t="s">
        <v>714</v>
      </c>
      <c r="D103" s="891">
        <v>83052.81</v>
      </c>
    </row>
    <row r="104" spans="1:4" x14ac:dyDescent="0.35">
      <c r="A104" s="642" t="s">
        <v>769</v>
      </c>
      <c r="B104" s="854"/>
      <c r="C104" s="642"/>
      <c r="D104" s="891">
        <f>SUM(D100:D103)</f>
        <v>292257.81</v>
      </c>
    </row>
    <row r="105" spans="1:4" x14ac:dyDescent="0.35">
      <c r="B105" s="853"/>
    </row>
    <row r="106" spans="1:4" x14ac:dyDescent="0.35">
      <c r="A106" s="642" t="s">
        <v>730</v>
      </c>
      <c r="B106" s="854">
        <v>44651</v>
      </c>
      <c r="C106" s="642" t="s">
        <v>709</v>
      </c>
      <c r="D106" s="891">
        <v>710039.25</v>
      </c>
    </row>
    <row r="107" spans="1:4" x14ac:dyDescent="0.35">
      <c r="A107" s="642" t="s">
        <v>730</v>
      </c>
      <c r="B107" s="854">
        <v>44651</v>
      </c>
      <c r="C107" s="642" t="s">
        <v>712</v>
      </c>
      <c r="D107" s="891">
        <v>2524.6</v>
      </c>
    </row>
    <row r="108" spans="1:4" x14ac:dyDescent="0.35">
      <c r="A108" s="642" t="s">
        <v>730</v>
      </c>
      <c r="B108" s="854">
        <v>44651</v>
      </c>
      <c r="C108" s="642" t="s">
        <v>719</v>
      </c>
      <c r="D108" s="891">
        <v>2049.9</v>
      </c>
    </row>
    <row r="109" spans="1:4" x14ac:dyDescent="0.35">
      <c r="A109" s="642" t="s">
        <v>730</v>
      </c>
      <c r="B109" s="854">
        <v>44651</v>
      </c>
      <c r="C109" s="642" t="s">
        <v>713</v>
      </c>
      <c r="D109" s="891">
        <v>17451</v>
      </c>
    </row>
    <row r="110" spans="1:4" x14ac:dyDescent="0.35">
      <c r="A110" s="642" t="s">
        <v>730</v>
      </c>
      <c r="B110" s="854">
        <v>44651</v>
      </c>
      <c r="C110" s="642" t="s">
        <v>707</v>
      </c>
      <c r="D110" s="891">
        <v>969749</v>
      </c>
    </row>
    <row r="111" spans="1:4" x14ac:dyDescent="0.35">
      <c r="A111" s="642" t="s">
        <v>730</v>
      </c>
      <c r="B111" s="854">
        <v>44651</v>
      </c>
      <c r="C111" s="642" t="s">
        <v>714</v>
      </c>
      <c r="D111" s="891">
        <v>521320.48</v>
      </c>
    </row>
    <row r="112" spans="1:4" x14ac:dyDescent="0.35">
      <c r="A112" s="642" t="s">
        <v>769</v>
      </c>
      <c r="B112" s="854"/>
      <c r="C112" s="642"/>
      <c r="D112" s="891">
        <f>SUM(D106:D111)</f>
        <v>2223134.23</v>
      </c>
    </row>
    <row r="113" spans="1:4" x14ac:dyDescent="0.35">
      <c r="B113" s="853"/>
    </row>
    <row r="114" spans="1:4" x14ac:dyDescent="0.35">
      <c r="A114" s="642" t="s">
        <v>731</v>
      </c>
      <c r="B114" s="854">
        <v>44651</v>
      </c>
      <c r="C114" s="642" t="s">
        <v>712</v>
      </c>
      <c r="D114" s="891">
        <v>12452</v>
      </c>
    </row>
    <row r="115" spans="1:4" x14ac:dyDescent="0.35">
      <c r="A115" s="642" t="s">
        <v>731</v>
      </c>
      <c r="B115" s="854">
        <v>44651</v>
      </c>
      <c r="C115" s="642" t="s">
        <v>707</v>
      </c>
      <c r="D115" s="891">
        <v>6663420.1600000001</v>
      </c>
    </row>
    <row r="116" spans="1:4" x14ac:dyDescent="0.35">
      <c r="A116" s="642" t="s">
        <v>731</v>
      </c>
      <c r="B116" s="854">
        <v>44651</v>
      </c>
      <c r="C116" s="642" t="s">
        <v>710</v>
      </c>
      <c r="D116" s="891">
        <v>0</v>
      </c>
    </row>
    <row r="117" spans="1:4" x14ac:dyDescent="0.35">
      <c r="A117" s="642" t="s">
        <v>731</v>
      </c>
      <c r="B117" s="854">
        <v>44651</v>
      </c>
      <c r="C117" s="642" t="s">
        <v>709</v>
      </c>
      <c r="D117" s="891">
        <v>17620.45</v>
      </c>
    </row>
    <row r="118" spans="1:4" x14ac:dyDescent="0.35">
      <c r="A118" s="642" t="s">
        <v>731</v>
      </c>
      <c r="B118" s="854">
        <v>44651</v>
      </c>
      <c r="C118" s="642" t="s">
        <v>713</v>
      </c>
      <c r="D118" s="891">
        <v>37129.5</v>
      </c>
    </row>
    <row r="119" spans="1:4" x14ac:dyDescent="0.35">
      <c r="A119" s="642" t="s">
        <v>731</v>
      </c>
      <c r="B119" s="854">
        <v>44651</v>
      </c>
      <c r="C119" s="642" t="s">
        <v>719</v>
      </c>
      <c r="D119" s="891">
        <v>14567.67</v>
      </c>
    </row>
    <row r="120" spans="1:4" x14ac:dyDescent="0.35">
      <c r="A120" s="642" t="s">
        <v>731</v>
      </c>
      <c r="B120" s="854">
        <v>44651</v>
      </c>
      <c r="C120" s="642" t="s">
        <v>718</v>
      </c>
      <c r="D120" s="891">
        <v>-124289</v>
      </c>
    </row>
    <row r="121" spans="1:4" x14ac:dyDescent="0.35">
      <c r="A121" s="642" t="s">
        <v>731</v>
      </c>
      <c r="B121" s="854">
        <v>44651</v>
      </c>
      <c r="C121" s="642" t="s">
        <v>724</v>
      </c>
      <c r="D121" s="891">
        <v>0</v>
      </c>
    </row>
    <row r="122" spans="1:4" x14ac:dyDescent="0.35">
      <c r="A122" s="642" t="s">
        <v>731</v>
      </c>
      <c r="B122" s="854">
        <v>44651</v>
      </c>
      <c r="C122" s="642" t="s">
        <v>714</v>
      </c>
      <c r="D122" s="891">
        <v>1441486.16</v>
      </c>
    </row>
    <row r="123" spans="1:4" x14ac:dyDescent="0.35">
      <c r="A123" s="642" t="s">
        <v>769</v>
      </c>
      <c r="B123" s="854"/>
      <c r="C123" s="642"/>
      <c r="D123" s="891">
        <f>SUM(D114:D122)</f>
        <v>8062386.9400000004</v>
      </c>
    </row>
    <row r="124" spans="1:4" x14ac:dyDescent="0.35">
      <c r="B124" s="853"/>
    </row>
    <row r="125" spans="1:4" x14ac:dyDescent="0.35">
      <c r="A125" s="642" t="s">
        <v>732</v>
      </c>
      <c r="B125" s="854">
        <v>44651</v>
      </c>
      <c r="C125" s="642" t="s">
        <v>707</v>
      </c>
      <c r="D125" s="891">
        <v>489977</v>
      </c>
    </row>
    <row r="126" spans="1:4" x14ac:dyDescent="0.35">
      <c r="A126" s="642" t="s">
        <v>732</v>
      </c>
      <c r="B126" s="854">
        <v>44651</v>
      </c>
      <c r="C126" s="642" t="s">
        <v>714</v>
      </c>
      <c r="D126" s="891">
        <v>151631.37</v>
      </c>
    </row>
    <row r="127" spans="1:4" x14ac:dyDescent="0.35">
      <c r="A127" s="642" t="s">
        <v>732</v>
      </c>
      <c r="B127" s="854">
        <v>44651</v>
      </c>
      <c r="C127" s="642" t="s">
        <v>712</v>
      </c>
      <c r="D127" s="891">
        <v>530</v>
      </c>
    </row>
    <row r="128" spans="1:4" x14ac:dyDescent="0.35">
      <c r="A128" s="642" t="s">
        <v>732</v>
      </c>
      <c r="B128" s="854">
        <v>44651</v>
      </c>
      <c r="C128" s="642" t="s">
        <v>709</v>
      </c>
      <c r="D128" s="891">
        <v>11960.75</v>
      </c>
    </row>
    <row r="129" spans="1:4" x14ac:dyDescent="0.35">
      <c r="A129" s="642" t="s">
        <v>732</v>
      </c>
      <c r="B129" s="854">
        <v>44651</v>
      </c>
      <c r="C129" s="642" t="s">
        <v>719</v>
      </c>
      <c r="D129" s="891">
        <v>2806.67</v>
      </c>
    </row>
    <row r="130" spans="1:4" x14ac:dyDescent="0.35">
      <c r="A130" s="642" t="s">
        <v>732</v>
      </c>
      <c r="B130" s="854">
        <v>44651</v>
      </c>
      <c r="C130" s="642" t="s">
        <v>713</v>
      </c>
      <c r="D130" s="891">
        <v>3856.5</v>
      </c>
    </row>
    <row r="131" spans="1:4" x14ac:dyDescent="0.35">
      <c r="A131" s="642" t="s">
        <v>769</v>
      </c>
      <c r="B131" s="854"/>
      <c r="C131" s="642"/>
      <c r="D131" s="891">
        <f>SUM(D125:D130)</f>
        <v>660762.29</v>
      </c>
    </row>
    <row r="132" spans="1:4" x14ac:dyDescent="0.35">
      <c r="B132" s="853"/>
    </row>
    <row r="133" spans="1:4" x14ac:dyDescent="0.35">
      <c r="A133" s="642" t="s">
        <v>512</v>
      </c>
      <c r="B133" s="854">
        <v>44651</v>
      </c>
      <c r="C133" s="642" t="s">
        <v>719</v>
      </c>
      <c r="D133" s="891">
        <v>3399.27</v>
      </c>
    </row>
    <row r="134" spans="1:4" x14ac:dyDescent="0.35">
      <c r="A134" s="642" t="s">
        <v>769</v>
      </c>
      <c r="B134" s="854"/>
      <c r="C134" s="642"/>
      <c r="D134" s="891">
        <f>SUM(D133)</f>
        <v>3399.27</v>
      </c>
    </row>
    <row r="135" spans="1:4" x14ac:dyDescent="0.35">
      <c r="B135" s="853"/>
    </row>
    <row r="136" spans="1:4" x14ac:dyDescent="0.35">
      <c r="A136" s="642" t="s">
        <v>777</v>
      </c>
      <c r="B136" s="854">
        <v>44651</v>
      </c>
      <c r="C136" s="642" t="s">
        <v>712</v>
      </c>
      <c r="D136" s="891">
        <v>200</v>
      </c>
    </row>
    <row r="137" spans="1:4" x14ac:dyDescent="0.35">
      <c r="A137" s="642" t="s">
        <v>777</v>
      </c>
      <c r="B137" s="854">
        <v>44651</v>
      </c>
      <c r="C137" s="642" t="s">
        <v>714</v>
      </c>
      <c r="D137" s="891">
        <v>4852.05</v>
      </c>
    </row>
    <row r="138" spans="1:4" x14ac:dyDescent="0.35">
      <c r="A138" s="642" t="s">
        <v>777</v>
      </c>
      <c r="B138" s="854">
        <v>44651</v>
      </c>
      <c r="C138" s="642" t="s">
        <v>709</v>
      </c>
      <c r="D138" s="891">
        <v>17928.12</v>
      </c>
    </row>
    <row r="139" spans="1:4" x14ac:dyDescent="0.35">
      <c r="A139" s="642" t="s">
        <v>777</v>
      </c>
      <c r="B139" s="854">
        <v>44651</v>
      </c>
      <c r="C139" s="642" t="s">
        <v>719</v>
      </c>
      <c r="D139" s="891">
        <v>2882.08</v>
      </c>
    </row>
    <row r="140" spans="1:4" x14ac:dyDescent="0.35">
      <c r="A140" s="642" t="s">
        <v>769</v>
      </c>
      <c r="B140" s="854"/>
      <c r="C140" s="642"/>
      <c r="D140" s="891">
        <f>SUM(D136:D139)</f>
        <v>25862.25</v>
      </c>
    </row>
    <row r="141" spans="1:4" x14ac:dyDescent="0.35">
      <c r="B141" s="853"/>
    </row>
    <row r="142" spans="1:4" x14ac:dyDescent="0.35">
      <c r="A142" s="642" t="s">
        <v>466</v>
      </c>
      <c r="B142" s="854">
        <v>44651</v>
      </c>
      <c r="C142" s="642" t="s">
        <v>709</v>
      </c>
      <c r="D142" s="891">
        <v>53716.22</v>
      </c>
    </row>
    <row r="143" spans="1:4" x14ac:dyDescent="0.35">
      <c r="A143" s="642" t="s">
        <v>466</v>
      </c>
      <c r="B143" s="854">
        <v>44651</v>
      </c>
      <c r="C143" s="642" t="s">
        <v>714</v>
      </c>
      <c r="D143" s="891">
        <v>20578.439999999999</v>
      </c>
    </row>
    <row r="144" spans="1:4" x14ac:dyDescent="0.35">
      <c r="A144" s="642" t="s">
        <v>769</v>
      </c>
      <c r="B144" s="854"/>
      <c r="C144" s="642"/>
      <c r="D144" s="891">
        <f>SUM(D142:D143)</f>
        <v>74294.66</v>
      </c>
    </row>
    <row r="145" spans="1:4" x14ac:dyDescent="0.35">
      <c r="B145" s="853"/>
    </row>
    <row r="146" spans="1:4" x14ac:dyDescent="0.35">
      <c r="A146" s="642" t="s">
        <v>734</v>
      </c>
      <c r="B146" s="854">
        <v>44651</v>
      </c>
      <c r="C146" s="642" t="s">
        <v>714</v>
      </c>
      <c r="D146" s="891">
        <v>15028.55</v>
      </c>
    </row>
    <row r="147" spans="1:4" x14ac:dyDescent="0.35">
      <c r="A147" s="642" t="s">
        <v>734</v>
      </c>
      <c r="B147" s="854">
        <v>44651</v>
      </c>
      <c r="C147" s="642" t="s">
        <v>709</v>
      </c>
      <c r="D147" s="891">
        <v>67672.179999999993</v>
      </c>
    </row>
    <row r="148" spans="1:4" x14ac:dyDescent="0.35">
      <c r="A148" s="642" t="s">
        <v>734</v>
      </c>
      <c r="B148" s="854">
        <v>44651</v>
      </c>
      <c r="C148" s="642" t="s">
        <v>713</v>
      </c>
      <c r="D148" s="891">
        <v>20</v>
      </c>
    </row>
    <row r="149" spans="1:4" x14ac:dyDescent="0.35">
      <c r="A149" s="642" t="s">
        <v>769</v>
      </c>
      <c r="B149" s="854"/>
      <c r="C149" s="642"/>
      <c r="D149" s="891">
        <f>SUM(D146:D148)</f>
        <v>82720.73</v>
      </c>
    </row>
    <row r="150" spans="1:4" x14ac:dyDescent="0.35">
      <c r="B150" s="853"/>
    </row>
    <row r="151" spans="1:4" x14ac:dyDescent="0.35">
      <c r="A151" s="642" t="s">
        <v>736</v>
      </c>
      <c r="B151" s="854">
        <v>44651</v>
      </c>
      <c r="C151" s="642" t="s">
        <v>713</v>
      </c>
      <c r="D151" s="891">
        <v>5237</v>
      </c>
    </row>
    <row r="152" spans="1:4" x14ac:dyDescent="0.35">
      <c r="A152" s="642" t="s">
        <v>736</v>
      </c>
      <c r="B152" s="854">
        <v>44651</v>
      </c>
      <c r="C152" s="642" t="s">
        <v>709</v>
      </c>
      <c r="D152" s="891">
        <v>143299.09</v>
      </c>
    </row>
    <row r="153" spans="1:4" x14ac:dyDescent="0.35">
      <c r="A153" s="642" t="s">
        <v>736</v>
      </c>
      <c r="B153" s="854">
        <v>44651</v>
      </c>
      <c r="C153" s="642" t="s">
        <v>707</v>
      </c>
      <c r="D153" s="891">
        <v>814746</v>
      </c>
    </row>
    <row r="154" spans="1:4" x14ac:dyDescent="0.35">
      <c r="A154" s="642" t="s">
        <v>736</v>
      </c>
      <c r="B154" s="854">
        <v>44651</v>
      </c>
      <c r="C154" s="642" t="s">
        <v>714</v>
      </c>
      <c r="D154" s="891">
        <v>417535.34</v>
      </c>
    </row>
    <row r="155" spans="1:4" x14ac:dyDescent="0.35">
      <c r="A155" s="642" t="s">
        <v>736</v>
      </c>
      <c r="B155" s="854">
        <v>44651</v>
      </c>
      <c r="C155" s="642" t="s">
        <v>712</v>
      </c>
      <c r="D155" s="891">
        <v>3164.5</v>
      </c>
    </row>
    <row r="156" spans="1:4" x14ac:dyDescent="0.35">
      <c r="A156" s="642" t="s">
        <v>769</v>
      </c>
      <c r="B156" s="854"/>
      <c r="C156" s="642"/>
      <c r="D156" s="891">
        <f>SUM(D151:D155)</f>
        <v>1383981.93</v>
      </c>
    </row>
    <row r="157" spans="1:4" x14ac:dyDescent="0.35">
      <c r="B157" s="853"/>
    </row>
    <row r="158" spans="1:4" x14ac:dyDescent="0.35">
      <c r="A158" s="642" t="s">
        <v>511</v>
      </c>
      <c r="B158" s="854">
        <v>44651</v>
      </c>
      <c r="C158" s="642" t="s">
        <v>709</v>
      </c>
      <c r="D158" s="891">
        <v>34735.72</v>
      </c>
    </row>
    <row r="159" spans="1:4" x14ac:dyDescent="0.35">
      <c r="A159" s="642" t="s">
        <v>511</v>
      </c>
      <c r="B159" s="854">
        <v>44651</v>
      </c>
      <c r="C159" s="642" t="s">
        <v>713</v>
      </c>
      <c r="D159" s="891">
        <v>122.5</v>
      </c>
    </row>
    <row r="160" spans="1:4" x14ac:dyDescent="0.35">
      <c r="A160" s="642" t="s">
        <v>769</v>
      </c>
      <c r="B160" s="854"/>
      <c r="C160" s="642"/>
      <c r="D160" s="891">
        <f>SUM(D158:D159)</f>
        <v>34858.22</v>
      </c>
    </row>
    <row r="161" spans="1:4" x14ac:dyDescent="0.35">
      <c r="B161" s="853"/>
    </row>
    <row r="162" spans="1:4" x14ac:dyDescent="0.35">
      <c r="A162" s="642" t="s">
        <v>737</v>
      </c>
      <c r="B162" s="854">
        <v>44651</v>
      </c>
      <c r="C162" s="642" t="s">
        <v>707</v>
      </c>
      <c r="D162" s="891">
        <v>40580</v>
      </c>
    </row>
    <row r="163" spans="1:4" x14ac:dyDescent="0.35">
      <c r="A163" s="642" t="s">
        <v>737</v>
      </c>
      <c r="B163" s="854">
        <v>44651</v>
      </c>
      <c r="C163" s="642" t="s">
        <v>713</v>
      </c>
      <c r="D163" s="891">
        <v>37.5</v>
      </c>
    </row>
    <row r="164" spans="1:4" x14ac:dyDescent="0.35">
      <c r="A164" s="642" t="s">
        <v>737</v>
      </c>
      <c r="B164" s="854">
        <v>44651</v>
      </c>
      <c r="C164" s="642" t="s">
        <v>712</v>
      </c>
      <c r="D164" s="891">
        <v>110</v>
      </c>
    </row>
    <row r="165" spans="1:4" x14ac:dyDescent="0.35">
      <c r="A165" s="642" t="s">
        <v>737</v>
      </c>
      <c r="B165" s="854">
        <v>44651</v>
      </c>
      <c r="C165" s="642" t="s">
        <v>714</v>
      </c>
      <c r="D165" s="891">
        <v>16324.42</v>
      </c>
    </row>
    <row r="166" spans="1:4" x14ac:dyDescent="0.35">
      <c r="A166" s="642" t="s">
        <v>769</v>
      </c>
      <c r="B166" s="854"/>
      <c r="C166" s="642"/>
      <c r="D166" s="891">
        <f>SUM(D162:D165)</f>
        <v>57051.92</v>
      </c>
    </row>
    <row r="167" spans="1:4" x14ac:dyDescent="0.35">
      <c r="B167" s="853"/>
    </row>
    <row r="168" spans="1:4" x14ac:dyDescent="0.35">
      <c r="A168" s="642" t="s">
        <v>738</v>
      </c>
      <c r="B168" s="854">
        <v>44651</v>
      </c>
      <c r="C168" s="642" t="s">
        <v>714</v>
      </c>
      <c r="D168" s="891">
        <v>4581.1499999999996</v>
      </c>
    </row>
    <row r="169" spans="1:4" x14ac:dyDescent="0.35">
      <c r="A169" s="642" t="s">
        <v>738</v>
      </c>
      <c r="B169" s="854">
        <v>44651</v>
      </c>
      <c r="C169" s="642" t="s">
        <v>707</v>
      </c>
      <c r="D169" s="891">
        <v>8976</v>
      </c>
    </row>
    <row r="170" spans="1:4" x14ac:dyDescent="0.35">
      <c r="A170" s="642" t="s">
        <v>769</v>
      </c>
      <c r="B170" s="854"/>
      <c r="C170" s="642"/>
      <c r="D170" s="891">
        <f>SUM(D168:D169)</f>
        <v>13557.15</v>
      </c>
    </row>
    <row r="171" spans="1:4" x14ac:dyDescent="0.35">
      <c r="B171" s="853"/>
    </row>
    <row r="172" spans="1:4" x14ac:dyDescent="0.35">
      <c r="A172" s="642" t="s">
        <v>739</v>
      </c>
      <c r="B172" s="854">
        <v>44651</v>
      </c>
      <c r="C172" s="642" t="s">
        <v>714</v>
      </c>
      <c r="D172" s="891">
        <v>62784.38</v>
      </c>
    </row>
    <row r="173" spans="1:4" x14ac:dyDescent="0.35">
      <c r="A173" s="642" t="s">
        <v>739</v>
      </c>
      <c r="B173" s="854">
        <v>44651</v>
      </c>
      <c r="C173" s="642" t="s">
        <v>713</v>
      </c>
      <c r="D173" s="891">
        <v>2197</v>
      </c>
    </row>
    <row r="174" spans="1:4" x14ac:dyDescent="0.35">
      <c r="A174" s="642" t="s">
        <v>739</v>
      </c>
      <c r="B174" s="854">
        <v>44651</v>
      </c>
      <c r="C174" s="642" t="s">
        <v>709</v>
      </c>
      <c r="D174" s="891">
        <v>26831.61</v>
      </c>
    </row>
    <row r="175" spans="1:4" x14ac:dyDescent="0.35">
      <c r="A175" s="642" t="s">
        <v>739</v>
      </c>
      <c r="B175" s="854">
        <v>44651</v>
      </c>
      <c r="C175" s="642" t="s">
        <v>707</v>
      </c>
      <c r="D175" s="891">
        <v>142044</v>
      </c>
    </row>
    <row r="176" spans="1:4" x14ac:dyDescent="0.35">
      <c r="A176" s="642" t="s">
        <v>739</v>
      </c>
      <c r="B176" s="854">
        <v>44651</v>
      </c>
      <c r="C176" s="642" t="s">
        <v>712</v>
      </c>
      <c r="D176" s="891">
        <v>678</v>
      </c>
    </row>
    <row r="177" spans="1:4" x14ac:dyDescent="0.35">
      <c r="A177" s="642" t="s">
        <v>769</v>
      </c>
      <c r="B177" s="854"/>
      <c r="C177" s="642"/>
      <c r="D177" s="891">
        <f>SUM(D172:D176)</f>
        <v>234534.99</v>
      </c>
    </row>
    <row r="178" spans="1:4" x14ac:dyDescent="0.35">
      <c r="B178" s="853"/>
    </row>
    <row r="179" spans="1:4" x14ac:dyDescent="0.35">
      <c r="A179" s="642" t="s">
        <v>740</v>
      </c>
      <c r="B179" s="854">
        <v>44651</v>
      </c>
      <c r="C179" s="642" t="s">
        <v>712</v>
      </c>
      <c r="D179" s="891">
        <v>55</v>
      </c>
    </row>
    <row r="180" spans="1:4" x14ac:dyDescent="0.35">
      <c r="A180" s="642" t="s">
        <v>740</v>
      </c>
      <c r="B180" s="854">
        <v>44651</v>
      </c>
      <c r="C180" s="642" t="s">
        <v>707</v>
      </c>
      <c r="D180" s="891">
        <v>96780</v>
      </c>
    </row>
    <row r="181" spans="1:4" x14ac:dyDescent="0.35">
      <c r="A181" s="642" t="s">
        <v>740</v>
      </c>
      <c r="B181" s="854">
        <v>44651</v>
      </c>
      <c r="C181" s="642" t="s">
        <v>714</v>
      </c>
      <c r="D181" s="891">
        <v>32707.37</v>
      </c>
    </row>
    <row r="182" spans="1:4" x14ac:dyDescent="0.35">
      <c r="A182" s="642" t="s">
        <v>740</v>
      </c>
      <c r="B182" s="854">
        <v>44651</v>
      </c>
      <c r="C182" s="642" t="s">
        <v>713</v>
      </c>
      <c r="D182" s="891">
        <v>1474</v>
      </c>
    </row>
    <row r="183" spans="1:4" x14ac:dyDescent="0.35">
      <c r="A183" s="642" t="s">
        <v>769</v>
      </c>
      <c r="B183" s="854"/>
      <c r="C183" s="642"/>
      <c r="D183" s="891">
        <f>SUM(D179:D182)</f>
        <v>131016.37</v>
      </c>
    </row>
    <row r="184" spans="1:4" x14ac:dyDescent="0.35">
      <c r="B184" s="853"/>
    </row>
    <row r="185" spans="1:4" x14ac:dyDescent="0.35">
      <c r="A185" s="642" t="s">
        <v>741</v>
      </c>
      <c r="B185" s="854">
        <v>44651</v>
      </c>
      <c r="C185" s="642" t="s">
        <v>709</v>
      </c>
      <c r="D185" s="891">
        <v>149777.84</v>
      </c>
    </row>
    <row r="186" spans="1:4" x14ac:dyDescent="0.35">
      <c r="A186" s="642" t="s">
        <v>741</v>
      </c>
      <c r="B186" s="854">
        <v>44651</v>
      </c>
      <c r="C186" s="642" t="s">
        <v>713</v>
      </c>
      <c r="D186" s="891">
        <v>150.5</v>
      </c>
    </row>
    <row r="187" spans="1:4" x14ac:dyDescent="0.35">
      <c r="A187" s="642" t="s">
        <v>741</v>
      </c>
      <c r="B187" s="854">
        <v>44651</v>
      </c>
      <c r="C187" s="642" t="s">
        <v>714</v>
      </c>
      <c r="D187" s="891">
        <v>22949.7</v>
      </c>
    </row>
    <row r="188" spans="1:4" s="682" customFormat="1" x14ac:dyDescent="0.35">
      <c r="A188" s="642" t="s">
        <v>769</v>
      </c>
      <c r="B188" s="854"/>
      <c r="C188" s="642"/>
      <c r="D188" s="891">
        <f>SUM(D185:D187)</f>
        <v>172878.04</v>
      </c>
    </row>
    <row r="189" spans="1:4" s="682" customFormat="1" x14ac:dyDescent="0.35">
      <c r="B189" s="853"/>
      <c r="D189" s="327"/>
    </row>
    <row r="190" spans="1:4" x14ac:dyDescent="0.35">
      <c r="A190" s="642" t="s">
        <v>742</v>
      </c>
      <c r="B190" s="854">
        <v>44651</v>
      </c>
      <c r="C190" s="642" t="s">
        <v>707</v>
      </c>
      <c r="D190" s="891">
        <v>856176</v>
      </c>
    </row>
    <row r="191" spans="1:4" x14ac:dyDescent="0.35">
      <c r="A191" s="642" t="s">
        <v>742</v>
      </c>
      <c r="B191" s="854">
        <v>44651</v>
      </c>
      <c r="C191" s="642" t="s">
        <v>712</v>
      </c>
      <c r="D191" s="891">
        <v>1434</v>
      </c>
    </row>
    <row r="192" spans="1:4" x14ac:dyDescent="0.35">
      <c r="A192" s="642" t="s">
        <v>742</v>
      </c>
      <c r="B192" s="854">
        <v>44651</v>
      </c>
      <c r="C192" s="642" t="s">
        <v>714</v>
      </c>
      <c r="D192" s="891">
        <v>195662.82</v>
      </c>
    </row>
    <row r="193" spans="1:4" x14ac:dyDescent="0.35">
      <c r="A193" s="642" t="s">
        <v>742</v>
      </c>
      <c r="B193" s="854">
        <v>44651</v>
      </c>
      <c r="C193" s="642" t="s">
        <v>713</v>
      </c>
      <c r="D193" s="891">
        <v>6128.5</v>
      </c>
    </row>
    <row r="194" spans="1:4" x14ac:dyDescent="0.35">
      <c r="A194" s="642" t="s">
        <v>769</v>
      </c>
      <c r="B194" s="854"/>
      <c r="C194" s="642"/>
      <c r="D194" s="891">
        <f>SUM(D190:D193)</f>
        <v>1059401.32</v>
      </c>
    </row>
    <row r="195" spans="1:4" x14ac:dyDescent="0.35">
      <c r="A195" s="642"/>
      <c r="B195" s="854"/>
      <c r="C195" s="642"/>
      <c r="D195" s="891"/>
    </row>
    <row r="196" spans="1:4" x14ac:dyDescent="0.35">
      <c r="A196" s="642" t="s">
        <v>743</v>
      </c>
      <c r="B196" s="854">
        <v>44651</v>
      </c>
      <c r="C196" s="642" t="s">
        <v>709</v>
      </c>
      <c r="D196" s="891">
        <v>20178.95</v>
      </c>
    </row>
    <row r="197" spans="1:4" x14ac:dyDescent="0.35">
      <c r="A197" s="642" t="s">
        <v>743</v>
      </c>
      <c r="B197" s="854">
        <v>44651</v>
      </c>
      <c r="C197" s="642" t="s">
        <v>713</v>
      </c>
      <c r="D197" s="891">
        <v>6737.5</v>
      </c>
    </row>
    <row r="198" spans="1:4" x14ac:dyDescent="0.35">
      <c r="A198" s="642" t="s">
        <v>743</v>
      </c>
      <c r="B198" s="854">
        <v>44651</v>
      </c>
      <c r="C198" s="642" t="s">
        <v>707</v>
      </c>
      <c r="D198" s="891">
        <v>385077</v>
      </c>
    </row>
    <row r="199" spans="1:4" x14ac:dyDescent="0.35">
      <c r="A199" s="642" t="s">
        <v>743</v>
      </c>
      <c r="B199" s="854">
        <v>44651</v>
      </c>
      <c r="C199" s="642" t="s">
        <v>712</v>
      </c>
      <c r="D199" s="891">
        <v>244.4</v>
      </c>
    </row>
    <row r="200" spans="1:4" x14ac:dyDescent="0.35">
      <c r="A200" s="642" t="s">
        <v>743</v>
      </c>
      <c r="B200" s="854">
        <v>44651</v>
      </c>
      <c r="C200" s="642" t="s">
        <v>714</v>
      </c>
      <c r="D200" s="891">
        <v>57395.7</v>
      </c>
    </row>
    <row r="201" spans="1:4" x14ac:dyDescent="0.35">
      <c r="A201" s="642" t="s">
        <v>769</v>
      </c>
      <c r="B201" s="854"/>
      <c r="C201" s="642"/>
      <c r="D201" s="891">
        <f>SUM(D196:D200)</f>
        <v>469633.55000000005</v>
      </c>
    </row>
    <row r="202" spans="1:4" x14ac:dyDescent="0.35">
      <c r="A202" s="642"/>
      <c r="B202" s="854"/>
      <c r="C202" s="642"/>
      <c r="D202" s="891"/>
    </row>
    <row r="203" spans="1:4" x14ac:dyDescent="0.35">
      <c r="A203" s="642" t="s">
        <v>526</v>
      </c>
      <c r="B203" s="854">
        <v>44651</v>
      </c>
      <c r="C203" s="642" t="s">
        <v>714</v>
      </c>
      <c r="D203" s="891">
        <v>324788.19</v>
      </c>
    </row>
    <row r="204" spans="1:4" x14ac:dyDescent="0.35">
      <c r="A204" s="642" t="s">
        <v>526</v>
      </c>
      <c r="B204" s="854">
        <v>44651</v>
      </c>
      <c r="C204" s="642" t="s">
        <v>712</v>
      </c>
      <c r="D204" s="891">
        <v>767.5</v>
      </c>
    </row>
    <row r="205" spans="1:4" x14ac:dyDescent="0.35">
      <c r="A205" s="642" t="s">
        <v>526</v>
      </c>
      <c r="B205" s="854">
        <v>44651</v>
      </c>
      <c r="C205" s="642" t="s">
        <v>707</v>
      </c>
      <c r="D205" s="891">
        <v>1448906</v>
      </c>
    </row>
    <row r="206" spans="1:4" x14ac:dyDescent="0.35">
      <c r="A206" s="642" t="s">
        <v>526</v>
      </c>
      <c r="B206" s="854">
        <v>44651</v>
      </c>
      <c r="C206" s="642" t="s">
        <v>713</v>
      </c>
      <c r="D206" s="891">
        <v>4119</v>
      </c>
    </row>
    <row r="207" spans="1:4" x14ac:dyDescent="0.35">
      <c r="A207" s="642" t="s">
        <v>769</v>
      </c>
      <c r="B207" s="854"/>
      <c r="C207" s="642"/>
      <c r="D207" s="891">
        <f>SUM(D203:D206)</f>
        <v>1778580.69</v>
      </c>
    </row>
    <row r="208" spans="1:4" x14ac:dyDescent="0.35">
      <c r="B208" s="853"/>
    </row>
    <row r="209" spans="1:4" x14ac:dyDescent="0.35">
      <c r="A209" s="642" t="s">
        <v>744</v>
      </c>
      <c r="B209" s="854">
        <v>44651</v>
      </c>
      <c r="C209" s="642" t="s">
        <v>707</v>
      </c>
      <c r="D209" s="891">
        <v>29799</v>
      </c>
    </row>
    <row r="210" spans="1:4" x14ac:dyDescent="0.35">
      <c r="A210" s="642" t="s">
        <v>744</v>
      </c>
      <c r="B210" s="854">
        <v>44651</v>
      </c>
      <c r="C210" s="642" t="s">
        <v>709</v>
      </c>
      <c r="D210" s="891">
        <v>193885.76</v>
      </c>
    </row>
    <row r="211" spans="1:4" x14ac:dyDescent="0.35">
      <c r="A211" s="642" t="s">
        <v>744</v>
      </c>
      <c r="B211" s="854">
        <v>44651</v>
      </c>
      <c r="C211" s="642" t="s">
        <v>712</v>
      </c>
      <c r="D211" s="891">
        <v>70</v>
      </c>
    </row>
    <row r="212" spans="1:4" x14ac:dyDescent="0.35">
      <c r="A212" s="642" t="s">
        <v>744</v>
      </c>
      <c r="B212" s="854">
        <v>44651</v>
      </c>
      <c r="C212" s="642" t="s">
        <v>713</v>
      </c>
      <c r="D212" s="891">
        <v>3787</v>
      </c>
    </row>
    <row r="213" spans="1:4" x14ac:dyDescent="0.35">
      <c r="A213" s="642" t="s">
        <v>744</v>
      </c>
      <c r="B213" s="854">
        <v>44651</v>
      </c>
      <c r="C213" s="642" t="s">
        <v>714</v>
      </c>
      <c r="D213" s="891">
        <v>50718.59</v>
      </c>
    </row>
    <row r="214" spans="1:4" x14ac:dyDescent="0.35">
      <c r="A214" s="642" t="s">
        <v>769</v>
      </c>
      <c r="B214" s="854"/>
      <c r="C214" s="642"/>
      <c r="D214" s="891">
        <f>SUM(D209:D213)</f>
        <v>278260.34999999998</v>
      </c>
    </row>
    <row r="215" spans="1:4" x14ac:dyDescent="0.35">
      <c r="B215" s="853"/>
    </row>
    <row r="216" spans="1:4" x14ac:dyDescent="0.35">
      <c r="A216" s="642" t="s">
        <v>745</v>
      </c>
      <c r="B216" s="854">
        <v>44651</v>
      </c>
      <c r="C216" s="642" t="s">
        <v>714</v>
      </c>
      <c r="D216" s="891">
        <v>105181.21</v>
      </c>
    </row>
    <row r="217" spans="1:4" x14ac:dyDescent="0.35">
      <c r="A217" s="642" t="s">
        <v>745</v>
      </c>
      <c r="B217" s="854">
        <v>44651</v>
      </c>
      <c r="C217" s="642" t="s">
        <v>707</v>
      </c>
      <c r="D217" s="891">
        <v>315843</v>
      </c>
    </row>
    <row r="218" spans="1:4" x14ac:dyDescent="0.35">
      <c r="A218" s="642" t="s">
        <v>745</v>
      </c>
      <c r="B218" s="854">
        <v>44651</v>
      </c>
      <c r="C218" s="642" t="s">
        <v>722</v>
      </c>
      <c r="D218" s="891">
        <v>-918034.75</v>
      </c>
    </row>
    <row r="219" spans="1:4" x14ac:dyDescent="0.35">
      <c r="A219" s="642" t="s">
        <v>745</v>
      </c>
      <c r="B219" s="854">
        <v>44651</v>
      </c>
      <c r="C219" s="642" t="s">
        <v>713</v>
      </c>
      <c r="D219" s="891">
        <v>6044.5</v>
      </c>
    </row>
    <row r="220" spans="1:4" x14ac:dyDescent="0.35">
      <c r="A220" s="642" t="s">
        <v>769</v>
      </c>
      <c r="B220" s="854"/>
      <c r="C220" s="642"/>
      <c r="D220" s="891">
        <f>SUM(D216:D219)</f>
        <v>-490966.04</v>
      </c>
    </row>
    <row r="221" spans="1:4" x14ac:dyDescent="0.35">
      <c r="B221" s="853"/>
    </row>
    <row r="222" spans="1:4" x14ac:dyDescent="0.35">
      <c r="A222" s="642" t="s">
        <v>746</v>
      </c>
      <c r="B222" s="854">
        <v>44651</v>
      </c>
      <c r="C222" s="642" t="s">
        <v>714</v>
      </c>
      <c r="D222" s="891">
        <v>6776.45</v>
      </c>
    </row>
    <row r="223" spans="1:4" x14ac:dyDescent="0.35">
      <c r="A223" s="642" t="s">
        <v>746</v>
      </c>
      <c r="B223" s="854">
        <v>44651</v>
      </c>
      <c r="C223" s="642" t="s">
        <v>709</v>
      </c>
      <c r="D223" s="891">
        <v>13344.67</v>
      </c>
    </row>
    <row r="224" spans="1:4" x14ac:dyDescent="0.35">
      <c r="A224" s="642" t="s">
        <v>746</v>
      </c>
      <c r="B224" s="854">
        <v>44651</v>
      </c>
      <c r="C224" s="642" t="s">
        <v>707</v>
      </c>
      <c r="D224" s="891">
        <v>44415</v>
      </c>
    </row>
    <row r="225" spans="1:4" x14ac:dyDescent="0.35">
      <c r="A225" s="642" t="s">
        <v>769</v>
      </c>
      <c r="B225" s="854"/>
      <c r="C225" s="642"/>
      <c r="D225" s="891">
        <f>SUM(D222:D224)</f>
        <v>64536.119999999995</v>
      </c>
    </row>
    <row r="226" spans="1:4" x14ac:dyDescent="0.35">
      <c r="A226" s="642"/>
      <c r="B226" s="854"/>
      <c r="C226" s="642"/>
      <c r="D226" s="891"/>
    </row>
    <row r="227" spans="1:4" x14ac:dyDescent="0.35">
      <c r="A227" s="642" t="s">
        <v>748</v>
      </c>
      <c r="B227" s="854">
        <v>44651</v>
      </c>
      <c r="C227" s="642" t="s">
        <v>713</v>
      </c>
      <c r="D227" s="891">
        <v>7468.6</v>
      </c>
    </row>
    <row r="228" spans="1:4" x14ac:dyDescent="0.35">
      <c r="A228" s="642" t="s">
        <v>748</v>
      </c>
      <c r="B228" s="854">
        <v>44651</v>
      </c>
      <c r="C228" s="642" t="s">
        <v>709</v>
      </c>
      <c r="D228" s="891">
        <v>202165.95</v>
      </c>
    </row>
    <row r="229" spans="1:4" x14ac:dyDescent="0.35">
      <c r="A229" s="642" t="s">
        <v>748</v>
      </c>
      <c r="B229" s="854">
        <v>44651</v>
      </c>
      <c r="C229" s="642" t="s">
        <v>712</v>
      </c>
      <c r="D229" s="891">
        <v>1010</v>
      </c>
    </row>
    <row r="230" spans="1:4" x14ac:dyDescent="0.35">
      <c r="A230" s="642" t="s">
        <v>748</v>
      </c>
      <c r="B230" s="854">
        <v>44651</v>
      </c>
      <c r="C230" s="642" t="s">
        <v>714</v>
      </c>
      <c r="D230" s="891">
        <v>130175.12</v>
      </c>
    </row>
    <row r="231" spans="1:4" x14ac:dyDescent="0.35">
      <c r="A231" s="642" t="s">
        <v>769</v>
      </c>
      <c r="B231" s="854"/>
      <c r="C231" s="642"/>
      <c r="D231" s="891">
        <f>SUM(D227:D230)</f>
        <v>340819.67000000004</v>
      </c>
    </row>
    <row r="232" spans="1:4" x14ac:dyDescent="0.35">
      <c r="B232" s="853"/>
    </row>
    <row r="233" spans="1:4" x14ac:dyDescent="0.35">
      <c r="A233" s="642" t="s">
        <v>749</v>
      </c>
      <c r="B233" s="854">
        <v>44651</v>
      </c>
      <c r="C233" s="642" t="s">
        <v>707</v>
      </c>
      <c r="D233" s="891">
        <v>20316</v>
      </c>
    </row>
    <row r="234" spans="1:4" x14ac:dyDescent="0.35">
      <c r="A234" s="642" t="s">
        <v>749</v>
      </c>
      <c r="B234" s="854">
        <v>44651</v>
      </c>
      <c r="C234" s="642" t="s">
        <v>776</v>
      </c>
      <c r="D234" s="891">
        <v>-77844.429999999993</v>
      </c>
    </row>
    <row r="235" spans="1:4" x14ac:dyDescent="0.35">
      <c r="A235" s="642" t="s">
        <v>749</v>
      </c>
      <c r="B235" s="854">
        <v>44651</v>
      </c>
      <c r="C235" s="642" t="s">
        <v>714</v>
      </c>
      <c r="D235" s="891">
        <v>7745.4</v>
      </c>
    </row>
    <row r="236" spans="1:4" x14ac:dyDescent="0.35">
      <c r="A236" s="642" t="s">
        <v>749</v>
      </c>
      <c r="B236" s="854">
        <v>44651</v>
      </c>
      <c r="C236" s="642" t="s">
        <v>775</v>
      </c>
      <c r="D236" s="891">
        <v>-10898.89</v>
      </c>
    </row>
    <row r="237" spans="1:4" x14ac:dyDescent="0.35">
      <c r="A237" s="642" t="s">
        <v>749</v>
      </c>
      <c r="B237" s="854">
        <v>44651</v>
      </c>
      <c r="C237" s="642" t="s">
        <v>709</v>
      </c>
      <c r="D237" s="891">
        <v>172551.33</v>
      </c>
    </row>
    <row r="238" spans="1:4" x14ac:dyDescent="0.35">
      <c r="A238" s="642" t="s">
        <v>749</v>
      </c>
      <c r="B238" s="854">
        <v>44651</v>
      </c>
      <c r="C238" s="642" t="s">
        <v>722</v>
      </c>
      <c r="D238" s="891">
        <v>-498805.26</v>
      </c>
    </row>
    <row r="239" spans="1:4" x14ac:dyDescent="0.35">
      <c r="A239" s="642" t="s">
        <v>749</v>
      </c>
      <c r="B239" s="854">
        <v>44651</v>
      </c>
      <c r="C239" s="642" t="s">
        <v>718</v>
      </c>
      <c r="D239" s="891">
        <v>-474174</v>
      </c>
    </row>
    <row r="240" spans="1:4" x14ac:dyDescent="0.35">
      <c r="A240" s="642" t="s">
        <v>769</v>
      </c>
      <c r="B240" s="854"/>
      <c r="C240" s="642"/>
      <c r="D240" s="891">
        <f>SUM(D233:D239)</f>
        <v>-861109.85</v>
      </c>
    </row>
    <row r="241" spans="1:4" x14ac:dyDescent="0.35">
      <c r="B241" s="853"/>
    </row>
    <row r="242" spans="1:4" x14ac:dyDescent="0.35">
      <c r="A242" s="642" t="s">
        <v>750</v>
      </c>
      <c r="B242" s="854">
        <v>44651</v>
      </c>
      <c r="C242" s="642" t="s">
        <v>714</v>
      </c>
      <c r="D242" s="891">
        <v>335296.63</v>
      </c>
    </row>
    <row r="243" spans="1:4" x14ac:dyDescent="0.35">
      <c r="A243" s="642" t="s">
        <v>750</v>
      </c>
      <c r="B243" s="854">
        <v>44651</v>
      </c>
      <c r="C243" s="642" t="s">
        <v>709</v>
      </c>
      <c r="D243" s="891">
        <v>139900.06</v>
      </c>
    </row>
    <row r="244" spans="1:4" x14ac:dyDescent="0.35">
      <c r="A244" s="642" t="s">
        <v>750</v>
      </c>
      <c r="B244" s="854">
        <v>44651</v>
      </c>
      <c r="C244" s="642" t="s">
        <v>713</v>
      </c>
      <c r="D244" s="891">
        <v>2522.6999999999998</v>
      </c>
    </row>
    <row r="245" spans="1:4" x14ac:dyDescent="0.35">
      <c r="A245" s="642" t="s">
        <v>750</v>
      </c>
      <c r="B245" s="854">
        <v>44651</v>
      </c>
      <c r="C245" s="642" t="s">
        <v>722</v>
      </c>
      <c r="D245" s="891">
        <v>-8318.07</v>
      </c>
    </row>
    <row r="246" spans="1:4" x14ac:dyDescent="0.35">
      <c r="A246" s="642" t="s">
        <v>750</v>
      </c>
      <c r="B246" s="854">
        <v>44651</v>
      </c>
      <c r="C246" s="642" t="s">
        <v>712</v>
      </c>
      <c r="D246" s="891">
        <v>2562.1</v>
      </c>
    </row>
    <row r="247" spans="1:4" x14ac:dyDescent="0.35">
      <c r="A247" s="642" t="s">
        <v>750</v>
      </c>
      <c r="B247" s="854">
        <v>44651</v>
      </c>
      <c r="C247" s="642" t="s">
        <v>707</v>
      </c>
      <c r="D247" s="891">
        <v>583294</v>
      </c>
    </row>
    <row r="248" spans="1:4" x14ac:dyDescent="0.35">
      <c r="A248" s="642" t="s">
        <v>769</v>
      </c>
      <c r="B248" s="854"/>
      <c r="C248" s="642"/>
      <c r="D248" s="891">
        <f>SUM(D241:D247)</f>
        <v>1055257.42</v>
      </c>
    </row>
    <row r="249" spans="1:4" x14ac:dyDescent="0.35">
      <c r="B249" s="853"/>
    </row>
    <row r="250" spans="1:4" x14ac:dyDescent="0.35">
      <c r="A250" s="642" t="s">
        <v>751</v>
      </c>
      <c r="B250" s="854">
        <v>44651</v>
      </c>
      <c r="C250" s="642" t="s">
        <v>714</v>
      </c>
      <c r="D250" s="891">
        <v>277899.74</v>
      </c>
    </row>
    <row r="251" spans="1:4" x14ac:dyDescent="0.35">
      <c r="A251" s="642" t="s">
        <v>751</v>
      </c>
      <c r="B251" s="854">
        <v>44651</v>
      </c>
      <c r="C251" s="642" t="s">
        <v>712</v>
      </c>
      <c r="D251" s="891">
        <v>285</v>
      </c>
    </row>
    <row r="252" spans="1:4" x14ac:dyDescent="0.35">
      <c r="A252" s="642" t="s">
        <v>751</v>
      </c>
      <c r="B252" s="854">
        <v>44651</v>
      </c>
      <c r="C252" s="642" t="s">
        <v>707</v>
      </c>
      <c r="D252" s="891">
        <v>823614</v>
      </c>
    </row>
    <row r="253" spans="1:4" x14ac:dyDescent="0.35">
      <c r="A253" s="642" t="s">
        <v>751</v>
      </c>
      <c r="B253" s="854">
        <v>44651</v>
      </c>
      <c r="C253" s="642" t="s">
        <v>709</v>
      </c>
      <c r="D253" s="891">
        <v>14767.52</v>
      </c>
    </row>
    <row r="254" spans="1:4" x14ac:dyDescent="0.35">
      <c r="A254" s="642" t="s">
        <v>751</v>
      </c>
      <c r="B254" s="854">
        <v>44651</v>
      </c>
      <c r="C254" s="642" t="s">
        <v>713</v>
      </c>
      <c r="D254" s="891">
        <v>11574.5</v>
      </c>
    </row>
    <row r="255" spans="1:4" x14ac:dyDescent="0.35">
      <c r="A255" s="642" t="s">
        <v>769</v>
      </c>
      <c r="B255" s="854"/>
      <c r="C255" s="642"/>
      <c r="D255" s="891">
        <f>SUM(D250:D254)</f>
        <v>1128140.76</v>
      </c>
    </row>
    <row r="256" spans="1:4" x14ac:dyDescent="0.35">
      <c r="B256" s="853"/>
    </row>
    <row r="257" spans="1:4" x14ac:dyDescent="0.35">
      <c r="A257" s="642" t="s">
        <v>752</v>
      </c>
      <c r="B257" s="854">
        <v>44651</v>
      </c>
      <c r="C257" s="642" t="s">
        <v>709</v>
      </c>
      <c r="D257" s="891">
        <v>46579.45</v>
      </c>
    </row>
    <row r="258" spans="1:4" x14ac:dyDescent="0.35">
      <c r="A258" s="642" t="s">
        <v>752</v>
      </c>
      <c r="B258" s="854">
        <v>44651</v>
      </c>
      <c r="C258" s="642" t="s">
        <v>714</v>
      </c>
      <c r="D258" s="891">
        <v>3545</v>
      </c>
    </row>
    <row r="259" spans="1:4" x14ac:dyDescent="0.35">
      <c r="A259" s="642" t="s">
        <v>769</v>
      </c>
      <c r="B259" s="854"/>
      <c r="C259" s="642"/>
      <c r="D259" s="891">
        <f>SUM(D257:D258)</f>
        <v>50124.45</v>
      </c>
    </row>
    <row r="260" spans="1:4" x14ac:dyDescent="0.35">
      <c r="B260" s="853"/>
    </row>
    <row r="261" spans="1:4" x14ac:dyDescent="0.35">
      <c r="A261" s="642" t="s">
        <v>753</v>
      </c>
      <c r="B261" s="854">
        <v>44651</v>
      </c>
      <c r="C261" s="642" t="s">
        <v>714</v>
      </c>
      <c r="D261" s="891">
        <v>62663.29</v>
      </c>
    </row>
    <row r="262" spans="1:4" x14ac:dyDescent="0.35">
      <c r="A262" s="642" t="s">
        <v>753</v>
      </c>
      <c r="B262" s="854">
        <v>44651</v>
      </c>
      <c r="C262" s="642" t="s">
        <v>713</v>
      </c>
      <c r="D262" s="891">
        <v>2406.6</v>
      </c>
    </row>
    <row r="263" spans="1:4" x14ac:dyDescent="0.35">
      <c r="A263" s="642" t="s">
        <v>753</v>
      </c>
      <c r="B263" s="854">
        <v>44651</v>
      </c>
      <c r="C263" s="642" t="s">
        <v>707</v>
      </c>
      <c r="D263" s="891">
        <v>210769</v>
      </c>
    </row>
    <row r="264" spans="1:4" x14ac:dyDescent="0.35">
      <c r="A264" s="642" t="s">
        <v>769</v>
      </c>
      <c r="B264" s="854"/>
      <c r="C264" s="642"/>
      <c r="D264" s="891">
        <f>SUM(D261:D263)</f>
        <v>275838.89</v>
      </c>
    </row>
    <row r="265" spans="1:4" x14ac:dyDescent="0.35">
      <c r="B265" s="853"/>
    </row>
    <row r="266" spans="1:4" x14ac:dyDescent="0.35">
      <c r="A266" s="642" t="s">
        <v>754</v>
      </c>
      <c r="B266" s="854">
        <v>44651</v>
      </c>
      <c r="C266" s="642" t="s">
        <v>707</v>
      </c>
      <c r="D266" s="891">
        <v>2818216</v>
      </c>
    </row>
    <row r="267" spans="1:4" x14ac:dyDescent="0.35">
      <c r="A267" s="642" t="s">
        <v>754</v>
      </c>
      <c r="B267" s="854">
        <v>44651</v>
      </c>
      <c r="C267" s="642" t="s">
        <v>712</v>
      </c>
      <c r="D267" s="891">
        <v>4460.3</v>
      </c>
    </row>
    <row r="268" spans="1:4" x14ac:dyDescent="0.35">
      <c r="A268" s="642" t="s">
        <v>754</v>
      </c>
      <c r="B268" s="854">
        <v>44651</v>
      </c>
      <c r="C268" s="642" t="s">
        <v>714</v>
      </c>
      <c r="D268" s="891">
        <v>966601.24</v>
      </c>
    </row>
    <row r="269" spans="1:4" x14ac:dyDescent="0.35">
      <c r="A269" s="642" t="s">
        <v>754</v>
      </c>
      <c r="B269" s="854">
        <v>44651</v>
      </c>
      <c r="C269" s="642" t="s">
        <v>713</v>
      </c>
      <c r="D269" s="891">
        <v>27340.89</v>
      </c>
    </row>
    <row r="270" spans="1:4" x14ac:dyDescent="0.35">
      <c r="A270" s="642" t="s">
        <v>754</v>
      </c>
      <c r="B270" s="854">
        <v>44651</v>
      </c>
      <c r="C270" s="642" t="s">
        <v>719</v>
      </c>
      <c r="D270" s="891">
        <v>16043.21</v>
      </c>
    </row>
    <row r="271" spans="1:4" x14ac:dyDescent="0.35">
      <c r="A271" s="642" t="s">
        <v>754</v>
      </c>
      <c r="B271" s="854">
        <v>44651</v>
      </c>
      <c r="C271" s="642" t="s">
        <v>776</v>
      </c>
      <c r="D271" s="891">
        <v>-9963.2000000000007</v>
      </c>
    </row>
    <row r="272" spans="1:4" x14ac:dyDescent="0.35">
      <c r="A272" s="642" t="s">
        <v>754</v>
      </c>
      <c r="B272" s="854">
        <v>44651</v>
      </c>
      <c r="C272" s="642" t="s">
        <v>709</v>
      </c>
      <c r="D272" s="891">
        <v>3284753.95</v>
      </c>
    </row>
    <row r="273" spans="1:4" x14ac:dyDescent="0.35">
      <c r="A273" s="642" t="s">
        <v>769</v>
      </c>
      <c r="B273" s="854"/>
      <c r="C273" s="642"/>
      <c r="D273" s="891">
        <f>SUM(D266:D272)</f>
        <v>7107452.3900000006</v>
      </c>
    </row>
    <row r="274" spans="1:4" x14ac:dyDescent="0.35">
      <c r="B274" s="853"/>
    </row>
    <row r="275" spans="1:4" x14ac:dyDescent="0.35">
      <c r="A275" s="642" t="s">
        <v>755</v>
      </c>
      <c r="B275" s="854">
        <v>44651</v>
      </c>
      <c r="C275" s="642" t="s">
        <v>712</v>
      </c>
      <c r="D275" s="891">
        <v>1193.2</v>
      </c>
    </row>
    <row r="276" spans="1:4" x14ac:dyDescent="0.35">
      <c r="A276" s="642" t="s">
        <v>755</v>
      </c>
      <c r="B276" s="854">
        <v>44651</v>
      </c>
      <c r="C276" s="642" t="s">
        <v>714</v>
      </c>
      <c r="D276" s="891">
        <v>521143.23</v>
      </c>
    </row>
    <row r="277" spans="1:4" x14ac:dyDescent="0.35">
      <c r="A277" s="642" t="s">
        <v>755</v>
      </c>
      <c r="B277" s="854">
        <v>44651</v>
      </c>
      <c r="C277" s="642" t="s">
        <v>707</v>
      </c>
      <c r="D277" s="891">
        <v>2186130</v>
      </c>
    </row>
    <row r="278" spans="1:4" x14ac:dyDescent="0.35">
      <c r="A278" s="642" t="s">
        <v>755</v>
      </c>
      <c r="B278" s="854">
        <v>44651</v>
      </c>
      <c r="C278" s="642" t="s">
        <v>713</v>
      </c>
      <c r="D278" s="891">
        <v>23846</v>
      </c>
    </row>
    <row r="279" spans="1:4" x14ac:dyDescent="0.35">
      <c r="A279" s="642" t="s">
        <v>769</v>
      </c>
      <c r="B279" s="854"/>
      <c r="C279" s="642"/>
      <c r="D279" s="891">
        <f>SUM(D275:D278)</f>
        <v>2732312.43</v>
      </c>
    </row>
    <row r="280" spans="1:4" x14ac:dyDescent="0.35">
      <c r="B280" s="853"/>
    </row>
    <row r="281" spans="1:4" x14ac:dyDescent="0.35">
      <c r="A281" s="642" t="s">
        <v>504</v>
      </c>
      <c r="B281" s="854">
        <v>44651</v>
      </c>
      <c r="C281" s="642" t="s">
        <v>709</v>
      </c>
      <c r="D281" s="891">
        <v>3945.07</v>
      </c>
    </row>
    <row r="282" spans="1:4" x14ac:dyDescent="0.35">
      <c r="A282" s="642" t="s">
        <v>504</v>
      </c>
      <c r="B282" s="854">
        <v>44651</v>
      </c>
      <c r="C282" s="642" t="s">
        <v>714</v>
      </c>
      <c r="D282" s="891">
        <v>1265.5999999999999</v>
      </c>
    </row>
    <row r="283" spans="1:4" x14ac:dyDescent="0.35">
      <c r="A283" s="642" t="s">
        <v>769</v>
      </c>
      <c r="B283" s="854"/>
      <c r="C283" s="642"/>
      <c r="D283" s="891">
        <f>SUM(D281:D282)</f>
        <v>5210.67</v>
      </c>
    </row>
    <row r="284" spans="1:4" x14ac:dyDescent="0.35">
      <c r="B284" s="853"/>
    </row>
    <row r="285" spans="1:4" x14ac:dyDescent="0.35">
      <c r="A285" s="642" t="s">
        <v>757</v>
      </c>
      <c r="B285" s="854">
        <v>44651</v>
      </c>
      <c r="C285" s="642" t="s">
        <v>714</v>
      </c>
      <c r="D285" s="891">
        <v>13244.7</v>
      </c>
    </row>
    <row r="286" spans="1:4" x14ac:dyDescent="0.35">
      <c r="A286" s="642" t="s">
        <v>757</v>
      </c>
      <c r="B286" s="854">
        <v>44651</v>
      </c>
      <c r="C286" s="642" t="s">
        <v>707</v>
      </c>
      <c r="D286" s="891">
        <v>64040</v>
      </c>
    </row>
    <row r="287" spans="1:4" x14ac:dyDescent="0.35">
      <c r="A287" s="642" t="s">
        <v>757</v>
      </c>
      <c r="B287" s="854">
        <v>44651</v>
      </c>
      <c r="C287" s="642" t="s">
        <v>709</v>
      </c>
      <c r="D287" s="891">
        <v>7429.77</v>
      </c>
    </row>
    <row r="288" spans="1:4" x14ac:dyDescent="0.35">
      <c r="A288" s="642" t="s">
        <v>757</v>
      </c>
      <c r="B288" s="854">
        <v>44651</v>
      </c>
      <c r="C288" s="642" t="s">
        <v>713</v>
      </c>
      <c r="D288" s="891">
        <v>1882</v>
      </c>
    </row>
    <row r="289" spans="1:4" x14ac:dyDescent="0.35">
      <c r="A289" s="642" t="s">
        <v>757</v>
      </c>
      <c r="B289" s="854">
        <v>44651</v>
      </c>
      <c r="C289" s="642" t="s">
        <v>719</v>
      </c>
      <c r="D289" s="891">
        <v>6656.32</v>
      </c>
    </row>
    <row r="290" spans="1:4" x14ac:dyDescent="0.35">
      <c r="A290" s="642" t="s">
        <v>769</v>
      </c>
      <c r="B290" s="854"/>
      <c r="C290" s="642"/>
      <c r="D290" s="891">
        <f>SUM(D285:D289)</f>
        <v>93252.790000000008</v>
      </c>
    </row>
    <row r="291" spans="1:4" x14ac:dyDescent="0.35">
      <c r="B291" s="853"/>
    </row>
    <row r="292" spans="1:4" x14ac:dyDescent="0.35">
      <c r="A292" s="642" t="s">
        <v>758</v>
      </c>
      <c r="B292" s="854">
        <v>44651</v>
      </c>
      <c r="C292" s="642" t="s">
        <v>709</v>
      </c>
      <c r="D292" s="891">
        <v>61848.74</v>
      </c>
    </row>
    <row r="293" spans="1:4" x14ac:dyDescent="0.35">
      <c r="A293" s="642" t="s">
        <v>769</v>
      </c>
      <c r="B293" s="854"/>
      <c r="C293" s="642"/>
      <c r="D293" s="891">
        <f>SUM(D292)</f>
        <v>61848.74</v>
      </c>
    </row>
    <row r="294" spans="1:4" x14ac:dyDescent="0.35">
      <c r="B294" s="853"/>
    </row>
    <row r="295" spans="1:4" x14ac:dyDescent="0.35">
      <c r="A295" s="642" t="s">
        <v>759</v>
      </c>
      <c r="B295" s="854">
        <v>44651</v>
      </c>
      <c r="C295" s="642" t="s">
        <v>719</v>
      </c>
      <c r="D295" s="891">
        <v>66121.88</v>
      </c>
    </row>
    <row r="296" spans="1:4" x14ac:dyDescent="0.35">
      <c r="A296" s="642" t="s">
        <v>759</v>
      </c>
      <c r="B296" s="854">
        <v>44651</v>
      </c>
      <c r="C296" s="642" t="s">
        <v>713</v>
      </c>
      <c r="D296" s="891">
        <v>59469.4</v>
      </c>
    </row>
    <row r="297" spans="1:4" x14ac:dyDescent="0.35">
      <c r="A297" s="642" t="s">
        <v>759</v>
      </c>
      <c r="B297" s="854">
        <v>44651</v>
      </c>
      <c r="C297" s="642" t="s">
        <v>714</v>
      </c>
      <c r="D297" s="891">
        <v>1791954.82</v>
      </c>
    </row>
    <row r="298" spans="1:4" x14ac:dyDescent="0.35">
      <c r="A298" s="642" t="s">
        <v>759</v>
      </c>
      <c r="B298" s="854">
        <v>44651</v>
      </c>
      <c r="C298" s="642" t="s">
        <v>712</v>
      </c>
      <c r="D298" s="891">
        <v>5350.4</v>
      </c>
    </row>
    <row r="299" spans="1:4" x14ac:dyDescent="0.35">
      <c r="A299" s="642" t="s">
        <v>759</v>
      </c>
      <c r="B299" s="854">
        <v>44651</v>
      </c>
      <c r="C299" s="642" t="s">
        <v>709</v>
      </c>
      <c r="D299" s="891">
        <v>274665.26</v>
      </c>
    </row>
    <row r="300" spans="1:4" x14ac:dyDescent="0.35">
      <c r="A300" s="642" t="s">
        <v>759</v>
      </c>
      <c r="B300" s="854">
        <v>44651</v>
      </c>
      <c r="C300" s="642" t="s">
        <v>707</v>
      </c>
      <c r="D300" s="891">
        <v>4304007</v>
      </c>
    </row>
    <row r="301" spans="1:4" x14ac:dyDescent="0.35">
      <c r="A301" s="642" t="s">
        <v>769</v>
      </c>
      <c r="B301" s="854"/>
      <c r="C301" s="642"/>
      <c r="D301" s="891">
        <f>SUM(D295:D300)</f>
        <v>6501568.7599999998</v>
      </c>
    </row>
    <row r="302" spans="1:4" x14ac:dyDescent="0.35">
      <c r="B302" s="853"/>
    </row>
    <row r="303" spans="1:4" x14ac:dyDescent="0.35">
      <c r="A303" s="642" t="s">
        <v>761</v>
      </c>
      <c r="B303" s="854">
        <v>44651</v>
      </c>
      <c r="C303" s="642" t="s">
        <v>707</v>
      </c>
      <c r="D303" s="891">
        <v>8749</v>
      </c>
    </row>
    <row r="304" spans="1:4" x14ac:dyDescent="0.35">
      <c r="A304" s="642" t="s">
        <v>769</v>
      </c>
      <c r="B304" s="854"/>
      <c r="C304" s="642"/>
      <c r="D304" s="891">
        <f>SUM(D303)</f>
        <v>8749</v>
      </c>
    </row>
    <row r="305" spans="1:4" x14ac:dyDescent="0.35">
      <c r="B305" s="853"/>
    </row>
    <row r="306" spans="1:4" x14ac:dyDescent="0.35">
      <c r="A306" s="642" t="s">
        <v>762</v>
      </c>
      <c r="B306" s="854">
        <v>44651</v>
      </c>
      <c r="C306" s="642" t="s">
        <v>707</v>
      </c>
      <c r="D306" s="891">
        <v>7752</v>
      </c>
    </row>
    <row r="307" spans="1:4" x14ac:dyDescent="0.35">
      <c r="A307" s="642" t="s">
        <v>769</v>
      </c>
      <c r="B307" s="854"/>
      <c r="C307" s="642"/>
      <c r="D307" s="891">
        <f>SUM(D306)</f>
        <v>7752</v>
      </c>
    </row>
    <row r="308" spans="1:4" x14ac:dyDescent="0.35">
      <c r="A308" s="642"/>
      <c r="B308" s="854"/>
      <c r="C308" s="642"/>
      <c r="D308" s="891"/>
    </row>
    <row r="309" spans="1:4" x14ac:dyDescent="0.35">
      <c r="A309" s="642" t="s">
        <v>763</v>
      </c>
      <c r="B309" s="854">
        <v>44651</v>
      </c>
      <c r="C309" s="642" t="s">
        <v>713</v>
      </c>
      <c r="D309" s="891">
        <v>709.5</v>
      </c>
    </row>
    <row r="310" spans="1:4" x14ac:dyDescent="0.35">
      <c r="A310" s="642" t="s">
        <v>763</v>
      </c>
      <c r="B310" s="854">
        <v>44651</v>
      </c>
      <c r="C310" s="642" t="s">
        <v>724</v>
      </c>
      <c r="D310" s="891">
        <v>0</v>
      </c>
    </row>
    <row r="311" spans="1:4" x14ac:dyDescent="0.35">
      <c r="A311" s="642" t="s">
        <v>763</v>
      </c>
      <c r="B311" s="854">
        <v>44651</v>
      </c>
      <c r="C311" s="642" t="s">
        <v>712</v>
      </c>
      <c r="D311" s="891">
        <v>85</v>
      </c>
    </row>
    <row r="312" spans="1:4" x14ac:dyDescent="0.35">
      <c r="A312" s="642" t="s">
        <v>763</v>
      </c>
      <c r="B312" s="854">
        <v>44651</v>
      </c>
      <c r="C312" s="642" t="s">
        <v>707</v>
      </c>
      <c r="D312" s="891">
        <v>164185</v>
      </c>
    </row>
    <row r="313" spans="1:4" x14ac:dyDescent="0.35">
      <c r="A313" s="642" t="s">
        <v>763</v>
      </c>
      <c r="B313" s="854">
        <v>44651</v>
      </c>
      <c r="C313" s="642" t="s">
        <v>714</v>
      </c>
      <c r="D313" s="891">
        <v>27936.57</v>
      </c>
    </row>
    <row r="314" spans="1:4" x14ac:dyDescent="0.35">
      <c r="A314" s="642" t="s">
        <v>769</v>
      </c>
      <c r="B314" s="854"/>
      <c r="C314" s="642"/>
      <c r="D314" s="891">
        <f>SUM(D309:D313)</f>
        <v>192916.07</v>
      </c>
    </row>
    <row r="315" spans="1:4" x14ac:dyDescent="0.35">
      <c r="B315" s="853"/>
    </row>
    <row r="316" spans="1:4" x14ac:dyDescent="0.35">
      <c r="A316" s="642" t="s">
        <v>764</v>
      </c>
      <c r="B316" s="854">
        <v>44651</v>
      </c>
      <c r="C316" s="642" t="s">
        <v>713</v>
      </c>
      <c r="D316" s="891">
        <v>607</v>
      </c>
    </row>
    <row r="317" spans="1:4" x14ac:dyDescent="0.35">
      <c r="A317" s="642" t="s">
        <v>764</v>
      </c>
      <c r="B317" s="854">
        <v>44651</v>
      </c>
      <c r="C317" s="642" t="s">
        <v>707</v>
      </c>
      <c r="D317" s="891">
        <v>7947</v>
      </c>
    </row>
    <row r="318" spans="1:4" x14ac:dyDescent="0.35">
      <c r="A318" s="642" t="s">
        <v>764</v>
      </c>
      <c r="B318" s="854">
        <v>44651</v>
      </c>
      <c r="C318" s="642" t="s">
        <v>714</v>
      </c>
      <c r="D318" s="891">
        <v>1959.5</v>
      </c>
    </row>
    <row r="319" spans="1:4" x14ac:dyDescent="0.35">
      <c r="A319" s="642" t="s">
        <v>769</v>
      </c>
      <c r="B319" s="854"/>
      <c r="C319" s="642"/>
      <c r="D319" s="891">
        <f>SUM(D316:D318)</f>
        <v>10513.5</v>
      </c>
    </row>
    <row r="320" spans="1:4" x14ac:dyDescent="0.35">
      <c r="B320" s="853"/>
    </row>
    <row r="321" spans="1:4" x14ac:dyDescent="0.35">
      <c r="A321" s="642" t="s">
        <v>765</v>
      </c>
      <c r="B321" s="854">
        <v>44651</v>
      </c>
      <c r="C321" s="642" t="s">
        <v>713</v>
      </c>
      <c r="D321" s="891">
        <v>18539.599999999999</v>
      </c>
    </row>
    <row r="322" spans="1:4" x14ac:dyDescent="0.35">
      <c r="A322" s="642" t="s">
        <v>765</v>
      </c>
      <c r="B322" s="854">
        <v>44651</v>
      </c>
      <c r="C322" s="642" t="s">
        <v>709</v>
      </c>
      <c r="D322" s="891">
        <v>54212.14</v>
      </c>
    </row>
    <row r="323" spans="1:4" x14ac:dyDescent="0.35">
      <c r="A323" s="642" t="s">
        <v>765</v>
      </c>
      <c r="B323" s="854">
        <v>44651</v>
      </c>
      <c r="C323" s="642" t="s">
        <v>712</v>
      </c>
      <c r="D323" s="891">
        <v>2190</v>
      </c>
    </row>
    <row r="324" spans="1:4" x14ac:dyDescent="0.35">
      <c r="A324" s="642" t="s">
        <v>765</v>
      </c>
      <c r="B324" s="854">
        <v>44651</v>
      </c>
      <c r="C324" s="642" t="s">
        <v>707</v>
      </c>
      <c r="D324" s="891">
        <v>411246</v>
      </c>
    </row>
    <row r="325" spans="1:4" x14ac:dyDescent="0.35">
      <c r="A325" s="642" t="s">
        <v>765</v>
      </c>
      <c r="B325" s="854">
        <v>44651</v>
      </c>
      <c r="C325" s="642" t="s">
        <v>719</v>
      </c>
      <c r="D325" s="891">
        <v>11485.63</v>
      </c>
    </row>
    <row r="326" spans="1:4" x14ac:dyDescent="0.35">
      <c r="A326" s="642" t="s">
        <v>765</v>
      </c>
      <c r="B326" s="854">
        <v>44651</v>
      </c>
      <c r="C326" s="642" t="s">
        <v>714</v>
      </c>
      <c r="D326" s="891">
        <v>241039.19</v>
      </c>
    </row>
    <row r="327" spans="1:4" x14ac:dyDescent="0.35">
      <c r="A327" s="642" t="s">
        <v>769</v>
      </c>
      <c r="B327" s="854"/>
      <c r="C327" s="642"/>
      <c r="D327" s="891">
        <f>SUM(D321:D326)</f>
        <v>738712.56</v>
      </c>
    </row>
    <row r="328" spans="1:4" x14ac:dyDescent="0.35">
      <c r="B328" s="853"/>
    </row>
    <row r="329" spans="1:4" x14ac:dyDescent="0.35">
      <c r="A329" s="642" t="s">
        <v>766</v>
      </c>
      <c r="B329" s="854">
        <v>44651</v>
      </c>
      <c r="C329" s="642" t="s">
        <v>712</v>
      </c>
      <c r="D329" s="891">
        <v>330</v>
      </c>
    </row>
    <row r="330" spans="1:4" x14ac:dyDescent="0.35">
      <c r="A330" s="642" t="s">
        <v>766</v>
      </c>
      <c r="B330" s="854">
        <v>44651</v>
      </c>
      <c r="C330" s="642" t="s">
        <v>709</v>
      </c>
      <c r="D330" s="891">
        <v>7935.58</v>
      </c>
    </row>
    <row r="331" spans="1:4" x14ac:dyDescent="0.35">
      <c r="A331" s="642" t="s">
        <v>766</v>
      </c>
      <c r="B331" s="854">
        <v>44651</v>
      </c>
      <c r="C331" s="642" t="s">
        <v>707</v>
      </c>
      <c r="D331" s="891">
        <v>357766</v>
      </c>
    </row>
    <row r="332" spans="1:4" x14ac:dyDescent="0.35">
      <c r="A332" s="642" t="s">
        <v>766</v>
      </c>
      <c r="B332" s="854">
        <v>44651</v>
      </c>
      <c r="C332" s="642" t="s">
        <v>713</v>
      </c>
      <c r="D332" s="891">
        <v>4169.5</v>
      </c>
    </row>
    <row r="333" spans="1:4" x14ac:dyDescent="0.35">
      <c r="A333" s="642" t="s">
        <v>766</v>
      </c>
      <c r="B333" s="854">
        <v>44651</v>
      </c>
      <c r="C333" s="642" t="s">
        <v>714</v>
      </c>
      <c r="D333" s="891">
        <v>130704.27</v>
      </c>
    </row>
    <row r="334" spans="1:4" x14ac:dyDescent="0.35">
      <c r="A334" s="682" t="s">
        <v>769</v>
      </c>
      <c r="B334" s="853"/>
      <c r="D334" s="327">
        <f>SUM(D329:D333)</f>
        <v>500905.35000000003</v>
      </c>
    </row>
    <row r="335" spans="1:4" x14ac:dyDescent="0.35">
      <c r="B335" s="853"/>
    </row>
    <row r="336" spans="1:4" x14ac:dyDescent="0.35">
      <c r="A336" s="642" t="s">
        <v>767</v>
      </c>
      <c r="B336" s="854">
        <v>44651</v>
      </c>
      <c r="C336" s="642" t="s">
        <v>709</v>
      </c>
      <c r="D336" s="891">
        <v>18615.490000000002</v>
      </c>
    </row>
    <row r="337" spans="1:6" x14ac:dyDescent="0.35">
      <c r="A337" s="642" t="s">
        <v>767</v>
      </c>
      <c r="B337" s="854">
        <v>44651</v>
      </c>
      <c r="C337" s="642" t="s">
        <v>707</v>
      </c>
      <c r="D337" s="891">
        <v>21858</v>
      </c>
    </row>
    <row r="338" spans="1:6" x14ac:dyDescent="0.35">
      <c r="A338" s="642" t="s">
        <v>769</v>
      </c>
      <c r="B338" s="854"/>
      <c r="C338" s="642"/>
      <c r="D338" s="891">
        <f>SUM(D335:D337)</f>
        <v>40473.490000000005</v>
      </c>
    </row>
    <row r="339" spans="1:6" x14ac:dyDescent="0.35">
      <c r="B339" s="853"/>
    </row>
    <row r="340" spans="1:6" x14ac:dyDescent="0.35">
      <c r="A340" s="642" t="s">
        <v>771</v>
      </c>
      <c r="B340" s="854">
        <v>44651</v>
      </c>
      <c r="C340" s="642" t="s">
        <v>719</v>
      </c>
      <c r="D340" s="891">
        <v>1040.42</v>
      </c>
    </row>
    <row r="341" spans="1:6" x14ac:dyDescent="0.35">
      <c r="A341" s="642" t="s">
        <v>769</v>
      </c>
      <c r="B341" s="854"/>
      <c r="C341" s="642"/>
      <c r="D341" s="891">
        <f>SUM(D340)</f>
        <v>1040.42</v>
      </c>
    </row>
    <row r="342" spans="1:6" x14ac:dyDescent="0.35">
      <c r="B342" s="853"/>
    </row>
    <row r="343" spans="1:6" x14ac:dyDescent="0.35">
      <c r="A343" s="642" t="s">
        <v>768</v>
      </c>
      <c r="B343" s="854">
        <v>44651</v>
      </c>
      <c r="C343" s="642" t="s">
        <v>712</v>
      </c>
      <c r="D343" s="891">
        <v>85</v>
      </c>
    </row>
    <row r="344" spans="1:6" x14ac:dyDescent="0.35">
      <c r="A344" s="642" t="s">
        <v>768</v>
      </c>
      <c r="B344" s="854">
        <v>44651</v>
      </c>
      <c r="C344" s="642" t="s">
        <v>707</v>
      </c>
      <c r="D344" s="891">
        <v>169204</v>
      </c>
    </row>
    <row r="345" spans="1:6" x14ac:dyDescent="0.35">
      <c r="A345" s="642" t="s">
        <v>768</v>
      </c>
      <c r="B345" s="854">
        <v>44651</v>
      </c>
      <c r="C345" s="642" t="s">
        <v>714</v>
      </c>
      <c r="D345" s="891">
        <v>112982.89</v>
      </c>
    </row>
    <row r="346" spans="1:6" x14ac:dyDescent="0.35">
      <c r="A346" s="642" t="s">
        <v>768</v>
      </c>
      <c r="B346" s="854">
        <v>44651</v>
      </c>
      <c r="C346" s="642" t="s">
        <v>713</v>
      </c>
      <c r="D346" s="891">
        <v>1855.5</v>
      </c>
    </row>
    <row r="347" spans="1:6" x14ac:dyDescent="0.35">
      <c r="A347" s="642" t="s">
        <v>768</v>
      </c>
      <c r="B347" s="854">
        <v>44651</v>
      </c>
      <c r="C347" s="642" t="s">
        <v>719</v>
      </c>
      <c r="D347" s="891">
        <v>12722.5</v>
      </c>
    </row>
    <row r="348" spans="1:6" x14ac:dyDescent="0.35">
      <c r="A348" s="642" t="s">
        <v>769</v>
      </c>
      <c r="B348" s="854"/>
      <c r="C348" s="642"/>
      <c r="D348" s="891">
        <f>SUM(D343:D347)</f>
        <v>296849.89</v>
      </c>
    </row>
    <row r="349" spans="1:6" x14ac:dyDescent="0.35">
      <c r="A349" s="682" t="s">
        <v>665</v>
      </c>
      <c r="D349" s="327">
        <f>SUM(D2:D348)/2</f>
        <v>82167930.579999968</v>
      </c>
    </row>
    <row r="351" spans="1:6" x14ac:dyDescent="0.35">
      <c r="D351" s="327">
        <v>444537.13999999996</v>
      </c>
      <c r="F351" s="591"/>
    </row>
    <row r="352" spans="1:6" x14ac:dyDescent="0.35">
      <c r="D352" s="327">
        <f>D349-D351</f>
        <v>81723393.439999968</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AA26E-4C3A-436D-B979-DA9C3D57857F}">
  <dimension ref="A1:B106"/>
  <sheetViews>
    <sheetView workbookViewId="0">
      <selection activeCell="B1" sqref="B1:B1048576"/>
    </sheetView>
  </sheetViews>
  <sheetFormatPr defaultRowHeight="14.5" x14ac:dyDescent="0.35"/>
  <cols>
    <col min="1" max="1" width="67.90625" customWidth="1"/>
    <col min="2" max="2" width="16.453125" customWidth="1"/>
  </cols>
  <sheetData>
    <row r="1" spans="1:2" ht="18.5" x14ac:dyDescent="0.35">
      <c r="A1" s="778" t="s">
        <v>25</v>
      </c>
      <c r="B1">
        <v>22332027.520000003</v>
      </c>
    </row>
    <row r="2" spans="1:2" ht="18.5" x14ac:dyDescent="0.35">
      <c r="A2" s="778" t="s">
        <v>361</v>
      </c>
      <c r="B2">
        <v>21348591.496600073</v>
      </c>
    </row>
    <row r="3" spans="1:2" ht="18.5" x14ac:dyDescent="0.35">
      <c r="A3" s="784" t="s">
        <v>363</v>
      </c>
      <c r="B3">
        <v>8062386.9400000423</v>
      </c>
    </row>
    <row r="4" spans="1:2" ht="18.5" x14ac:dyDescent="0.35">
      <c r="A4" s="778" t="s">
        <v>31</v>
      </c>
      <c r="B4">
        <v>6055329.0300000105</v>
      </c>
    </row>
    <row r="5" spans="1:2" ht="18.5" x14ac:dyDescent="0.35">
      <c r="A5" s="784" t="s">
        <v>364</v>
      </c>
      <c r="B5">
        <v>5930085.3840000173</v>
      </c>
    </row>
    <row r="6" spans="1:2" ht="18.5" x14ac:dyDescent="0.35">
      <c r="A6" s="784" t="s">
        <v>341</v>
      </c>
      <c r="B6">
        <v>4709945.7360000098</v>
      </c>
    </row>
    <row r="7" spans="1:2" ht="18.5" x14ac:dyDescent="0.35">
      <c r="A7" s="784" t="s">
        <v>36</v>
      </c>
      <c r="B7">
        <v>4357783.7599999961</v>
      </c>
    </row>
    <row r="8" spans="1:2" ht="18.5" x14ac:dyDescent="0.35">
      <c r="A8" s="784" t="s">
        <v>335</v>
      </c>
      <c r="B8">
        <v>2226134.870000009</v>
      </c>
    </row>
    <row r="9" spans="1:2" ht="18.5" x14ac:dyDescent="0.35">
      <c r="A9" s="784" t="s">
        <v>26</v>
      </c>
      <c r="B9">
        <v>2074593.3500000127</v>
      </c>
    </row>
    <row r="10" spans="1:2" ht="18.5" x14ac:dyDescent="0.35">
      <c r="A10" s="784" t="s">
        <v>368</v>
      </c>
      <c r="B10">
        <v>1965747.7600000026</v>
      </c>
    </row>
    <row r="11" spans="1:2" ht="18.5" x14ac:dyDescent="0.35">
      <c r="A11" s="784" t="s">
        <v>48</v>
      </c>
      <c r="B11">
        <v>1939984.4499999988</v>
      </c>
    </row>
    <row r="12" spans="1:2" ht="18.5" x14ac:dyDescent="0.35">
      <c r="A12" s="778" t="s">
        <v>526</v>
      </c>
      <c r="B12">
        <v>1778590.6900000002</v>
      </c>
    </row>
    <row r="13" spans="1:2" ht="18.5" x14ac:dyDescent="0.35">
      <c r="A13" s="778" t="s">
        <v>362</v>
      </c>
      <c r="B13">
        <v>1741734.2999999989</v>
      </c>
    </row>
    <row r="14" spans="1:2" ht="18.5" x14ac:dyDescent="0.35">
      <c r="A14" s="784" t="s">
        <v>75</v>
      </c>
      <c r="B14">
        <v>1552898.3000000017</v>
      </c>
    </row>
    <row r="15" spans="1:2" ht="18.5" x14ac:dyDescent="0.35">
      <c r="A15" s="784" t="s">
        <v>57</v>
      </c>
      <c r="B15">
        <v>1412419.090000001</v>
      </c>
    </row>
    <row r="16" spans="1:2" ht="18.5" x14ac:dyDescent="0.35">
      <c r="A16" s="784" t="s">
        <v>37</v>
      </c>
      <c r="B16">
        <v>1361628.5699999966</v>
      </c>
    </row>
    <row r="17" spans="1:2" ht="18.5" x14ac:dyDescent="0.35">
      <c r="A17" s="784" t="s">
        <v>27</v>
      </c>
      <c r="B17">
        <v>1154767.3799999987</v>
      </c>
    </row>
    <row r="18" spans="1:2" ht="18.5" x14ac:dyDescent="0.35">
      <c r="A18" s="784" t="s">
        <v>60</v>
      </c>
      <c r="B18">
        <v>1128140.7590000017</v>
      </c>
    </row>
    <row r="19" spans="1:2" ht="18.5" x14ac:dyDescent="0.35">
      <c r="A19" s="784" t="s">
        <v>366</v>
      </c>
      <c r="B19">
        <v>1107637.4000000004</v>
      </c>
    </row>
    <row r="20" spans="1:2" ht="18.5" x14ac:dyDescent="0.35">
      <c r="A20" s="784" t="s">
        <v>23</v>
      </c>
      <c r="B20">
        <v>1099971.7400000012</v>
      </c>
    </row>
    <row r="21" spans="1:2" ht="18.5" x14ac:dyDescent="0.35">
      <c r="A21" s="784" t="s">
        <v>340</v>
      </c>
      <c r="B21">
        <v>1059401.3219999999</v>
      </c>
    </row>
    <row r="22" spans="1:2" ht="18.5" x14ac:dyDescent="0.35">
      <c r="A22" s="784" t="s">
        <v>61</v>
      </c>
      <c r="B22">
        <v>1047463.0799999996</v>
      </c>
    </row>
    <row r="23" spans="1:2" ht="18.5" x14ac:dyDescent="0.35">
      <c r="A23" s="784" t="s">
        <v>71</v>
      </c>
      <c r="B23">
        <v>1036559.1299999991</v>
      </c>
    </row>
    <row r="24" spans="1:2" ht="18.5" x14ac:dyDescent="0.35">
      <c r="A24" s="784" t="s">
        <v>21</v>
      </c>
      <c r="B24">
        <v>984918.27999999467</v>
      </c>
    </row>
    <row r="25" spans="1:2" ht="18.5" x14ac:dyDescent="0.35">
      <c r="A25" s="784" t="s">
        <v>45</v>
      </c>
      <c r="B25">
        <v>877957.96830000018</v>
      </c>
    </row>
    <row r="26" spans="1:2" ht="18.5" x14ac:dyDescent="0.35">
      <c r="A26" s="778" t="s">
        <v>58</v>
      </c>
      <c r="B26">
        <v>733682.90999999736</v>
      </c>
    </row>
    <row r="27" spans="1:2" ht="18.5" x14ac:dyDescent="0.35">
      <c r="A27" s="784" t="s">
        <v>28</v>
      </c>
      <c r="B27">
        <v>675772.80000000156</v>
      </c>
    </row>
    <row r="28" spans="1:2" ht="18.5" x14ac:dyDescent="0.35">
      <c r="A28" s="784" t="s">
        <v>185</v>
      </c>
      <c r="B28">
        <v>663774.71000000322</v>
      </c>
    </row>
    <row r="29" spans="1:2" ht="18.5" x14ac:dyDescent="0.35">
      <c r="A29" s="784" t="s">
        <v>42</v>
      </c>
      <c r="B29">
        <v>660762.06000000099</v>
      </c>
    </row>
    <row r="30" spans="1:2" ht="18.5" x14ac:dyDescent="0.35">
      <c r="A30" s="784" t="s">
        <v>41</v>
      </c>
      <c r="B30">
        <v>604156.05999999959</v>
      </c>
    </row>
    <row r="31" spans="1:2" ht="18.5" x14ac:dyDescent="0.35">
      <c r="A31" s="784" t="s">
        <v>56</v>
      </c>
      <c r="B31">
        <v>583039.99999999953</v>
      </c>
    </row>
    <row r="32" spans="1:2" ht="18.5" x14ac:dyDescent="0.35">
      <c r="A32" s="784" t="s">
        <v>308</v>
      </c>
      <c r="B32">
        <v>471963.4199999976</v>
      </c>
    </row>
    <row r="33" spans="1:2" ht="18.5" x14ac:dyDescent="0.35">
      <c r="A33" s="784" t="s">
        <v>66</v>
      </c>
      <c r="B33">
        <v>469633.55000000016</v>
      </c>
    </row>
    <row r="34" spans="1:2" ht="18.5" x14ac:dyDescent="0.35">
      <c r="A34" s="784" t="s">
        <v>50</v>
      </c>
      <c r="B34">
        <v>421243.87</v>
      </c>
    </row>
    <row r="35" spans="1:2" ht="18.5" x14ac:dyDescent="0.35">
      <c r="A35" s="784" t="s">
        <v>509</v>
      </c>
      <c r="B35">
        <v>416348.50000000006</v>
      </c>
    </row>
    <row r="36" spans="1:2" ht="18.5" x14ac:dyDescent="0.35">
      <c r="A36" s="784" t="s">
        <v>466</v>
      </c>
      <c r="B36">
        <v>351369.84000000008</v>
      </c>
    </row>
    <row r="37" spans="1:2" ht="18.5" x14ac:dyDescent="0.35">
      <c r="A37" s="784" t="s">
        <v>70</v>
      </c>
      <c r="B37">
        <v>340819.67000000045</v>
      </c>
    </row>
    <row r="38" spans="1:2" ht="18.5" x14ac:dyDescent="0.35">
      <c r="A38" s="784" t="s">
        <v>52</v>
      </c>
      <c r="B38">
        <v>313552.88999999996</v>
      </c>
    </row>
    <row r="39" spans="1:2" ht="18.5" x14ac:dyDescent="0.35">
      <c r="A39" s="784" t="s">
        <v>483</v>
      </c>
      <c r="B39">
        <v>311810.03999999998</v>
      </c>
    </row>
    <row r="40" spans="1:2" ht="18.5" x14ac:dyDescent="0.35">
      <c r="A40" s="784" t="s">
        <v>500</v>
      </c>
      <c r="B40">
        <v>292257.81</v>
      </c>
    </row>
    <row r="41" spans="1:2" ht="18.5" x14ac:dyDescent="0.35">
      <c r="A41" s="784" t="s">
        <v>334</v>
      </c>
      <c r="B41">
        <v>262470.99999999837</v>
      </c>
    </row>
    <row r="42" spans="1:2" ht="18.5" x14ac:dyDescent="0.35">
      <c r="A42" s="784" t="s">
        <v>39</v>
      </c>
      <c r="B42">
        <v>225040.73999999964</v>
      </c>
    </row>
    <row r="43" spans="1:2" ht="18.5" x14ac:dyDescent="0.35">
      <c r="A43" s="784" t="s">
        <v>85</v>
      </c>
      <c r="B43">
        <v>213824.99999999977</v>
      </c>
    </row>
    <row r="44" spans="1:2" ht="18.5" x14ac:dyDescent="0.35">
      <c r="A44" s="784" t="s">
        <v>86</v>
      </c>
      <c r="B44">
        <v>193800.00000000012</v>
      </c>
    </row>
    <row r="45" spans="1:2" ht="18.5" x14ac:dyDescent="0.35">
      <c r="A45" s="784" t="s">
        <v>46</v>
      </c>
      <c r="B45">
        <v>184597.41999999995</v>
      </c>
    </row>
    <row r="46" spans="1:2" ht="18.5" x14ac:dyDescent="0.35">
      <c r="A46" s="784" t="s">
        <v>73</v>
      </c>
      <c r="B46">
        <v>131016.46999999974</v>
      </c>
    </row>
    <row r="47" spans="1:2" ht="18.5" x14ac:dyDescent="0.35">
      <c r="A47" s="784" t="s">
        <v>68</v>
      </c>
      <c r="B47">
        <v>100207.86999999927</v>
      </c>
    </row>
    <row r="48" spans="1:2" ht="18.5" x14ac:dyDescent="0.35">
      <c r="A48" s="784" t="s">
        <v>459</v>
      </c>
      <c r="B48">
        <v>94994.15</v>
      </c>
    </row>
    <row r="49" spans="1:2" ht="18.5" x14ac:dyDescent="0.35">
      <c r="A49" s="784" t="s">
        <v>65</v>
      </c>
      <c r="B49">
        <v>93252.789999999775</v>
      </c>
    </row>
    <row r="50" spans="1:2" ht="18.5" x14ac:dyDescent="0.35">
      <c r="A50" s="784" t="s">
        <v>504</v>
      </c>
      <c r="B50">
        <v>78181.320000000007</v>
      </c>
    </row>
    <row r="51" spans="1:2" ht="18.5" x14ac:dyDescent="0.35">
      <c r="A51" s="784" t="s">
        <v>507</v>
      </c>
      <c r="B51">
        <v>75581.250000000044</v>
      </c>
    </row>
    <row r="52" spans="1:2" ht="18.5" x14ac:dyDescent="0.35">
      <c r="A52" s="784" t="s">
        <v>503</v>
      </c>
      <c r="B52">
        <v>73202.629999999976</v>
      </c>
    </row>
    <row r="53" spans="1:2" ht="18.5" x14ac:dyDescent="0.35">
      <c r="A53" s="778" t="s">
        <v>525</v>
      </c>
      <c r="B53">
        <v>64989.420000000006</v>
      </c>
    </row>
    <row r="54" spans="1:2" ht="18.5" x14ac:dyDescent="0.35">
      <c r="A54" s="784" t="s">
        <v>501</v>
      </c>
      <c r="B54">
        <v>58371.400000008056</v>
      </c>
    </row>
    <row r="55" spans="1:2" ht="18.5" x14ac:dyDescent="0.35">
      <c r="A55" s="784" t="s">
        <v>81</v>
      </c>
      <c r="B55">
        <v>53067.499999999964</v>
      </c>
    </row>
    <row r="56" spans="1:2" ht="18.5" x14ac:dyDescent="0.35">
      <c r="A56" s="784" t="s">
        <v>485</v>
      </c>
      <c r="B56">
        <v>43556.819999999905</v>
      </c>
    </row>
    <row r="57" spans="1:2" ht="18.5" x14ac:dyDescent="0.35">
      <c r="A57" s="778" t="s">
        <v>511</v>
      </c>
      <c r="B57">
        <v>34858.22000000003</v>
      </c>
    </row>
    <row r="58" spans="1:2" ht="18.5" x14ac:dyDescent="0.35">
      <c r="A58" s="784" t="s">
        <v>186</v>
      </c>
      <c r="B58">
        <v>33292.00000000104</v>
      </c>
    </row>
    <row r="59" spans="1:2" ht="18.5" x14ac:dyDescent="0.35">
      <c r="A59" s="784" t="s">
        <v>506</v>
      </c>
      <c r="B59">
        <v>32572.499999999818</v>
      </c>
    </row>
    <row r="60" spans="1:2" ht="18.5" x14ac:dyDescent="0.35">
      <c r="A60" s="784" t="s">
        <v>465</v>
      </c>
      <c r="B60">
        <v>30474.279999999984</v>
      </c>
    </row>
    <row r="61" spans="1:2" ht="18.5" x14ac:dyDescent="0.35">
      <c r="A61" s="784" t="s">
        <v>367</v>
      </c>
      <c r="B61">
        <v>28731.069999999425</v>
      </c>
    </row>
    <row r="62" spans="1:2" ht="18.5" x14ac:dyDescent="0.35">
      <c r="A62" s="784" t="s">
        <v>336</v>
      </c>
      <c r="B62">
        <v>24543.890000000341</v>
      </c>
    </row>
    <row r="63" spans="1:2" ht="18.5" x14ac:dyDescent="0.35">
      <c r="A63" s="778" t="s">
        <v>512</v>
      </c>
      <c r="B63">
        <v>23560.410000000076</v>
      </c>
    </row>
    <row r="64" spans="1:2" ht="18.5" x14ac:dyDescent="0.35">
      <c r="A64" s="784" t="s">
        <v>342</v>
      </c>
      <c r="B64">
        <v>18446.389999999974</v>
      </c>
    </row>
    <row r="65" spans="1:2" ht="18.5" x14ac:dyDescent="0.35">
      <c r="A65" s="801" t="s">
        <v>480</v>
      </c>
      <c r="B65">
        <v>18381.950000000026</v>
      </c>
    </row>
    <row r="66" spans="1:2" ht="18.5" x14ac:dyDescent="0.35">
      <c r="A66" s="643" t="s">
        <v>487</v>
      </c>
      <c r="B66">
        <v>17873.900000000001</v>
      </c>
    </row>
    <row r="67" spans="1:2" ht="18.5" x14ac:dyDescent="0.35">
      <c r="A67" s="806" t="s">
        <v>44</v>
      </c>
      <c r="B67">
        <v>16268.819999999418</v>
      </c>
    </row>
    <row r="68" spans="1:2" ht="18.5" x14ac:dyDescent="0.35">
      <c r="A68" s="806" t="s">
        <v>88</v>
      </c>
      <c r="B68">
        <v>15396</v>
      </c>
    </row>
    <row r="69" spans="1:2" ht="18.5" x14ac:dyDescent="0.35">
      <c r="A69" s="806" t="s">
        <v>59</v>
      </c>
      <c r="B69">
        <v>10513.499999999978</v>
      </c>
    </row>
    <row r="70" spans="1:2" ht="18.5" x14ac:dyDescent="0.35">
      <c r="A70" s="806" t="s">
        <v>502</v>
      </c>
      <c r="B70">
        <v>8773.1399999999958</v>
      </c>
    </row>
    <row r="71" spans="1:2" ht="18.5" x14ac:dyDescent="0.35">
      <c r="A71" s="801" t="s">
        <v>505</v>
      </c>
      <c r="B71">
        <v>8345.2899999999208</v>
      </c>
    </row>
    <row r="72" spans="1:2" ht="18.5" x14ac:dyDescent="0.35">
      <c r="A72" s="801" t="s">
        <v>369</v>
      </c>
      <c r="B72">
        <v>834.78</v>
      </c>
    </row>
    <row r="73" spans="1:2" ht="18.5" x14ac:dyDescent="0.35">
      <c r="A73" s="806" t="s">
        <v>508</v>
      </c>
      <c r="B73">
        <v>731.7</v>
      </c>
    </row>
    <row r="74" spans="1:2" ht="18.5" x14ac:dyDescent="0.35">
      <c r="A74" s="801" t="s">
        <v>51</v>
      </c>
      <c r="B74">
        <v>4.6566128730773926E-10</v>
      </c>
    </row>
    <row r="75" spans="1:2" ht="18.5" x14ac:dyDescent="0.35">
      <c r="A75" s="806" t="s">
        <v>486</v>
      </c>
      <c r="B75">
        <v>1.0913936421275139E-11</v>
      </c>
    </row>
    <row r="76" spans="1:2" ht="18.5" x14ac:dyDescent="0.35">
      <c r="A76" s="806" t="s">
        <v>461</v>
      </c>
      <c r="B76">
        <v>0</v>
      </c>
    </row>
    <row r="77" spans="1:2" ht="18.5" x14ac:dyDescent="0.35">
      <c r="A77" s="806" t="s">
        <v>309</v>
      </c>
      <c r="B77">
        <v>0</v>
      </c>
    </row>
    <row r="78" spans="1:2" ht="18.5" x14ac:dyDescent="0.35">
      <c r="A78" s="806" t="s">
        <v>463</v>
      </c>
      <c r="B78">
        <v>0</v>
      </c>
    </row>
    <row r="79" spans="1:2" ht="18.5" x14ac:dyDescent="0.35">
      <c r="A79" s="806" t="s">
        <v>484</v>
      </c>
      <c r="B79">
        <v>-4.5474735088646412E-13</v>
      </c>
    </row>
    <row r="80" spans="1:2" ht="18.5" x14ac:dyDescent="0.35">
      <c r="A80" s="806" t="s">
        <v>460</v>
      </c>
      <c r="B80">
        <v>-7.2759576141834259E-12</v>
      </c>
    </row>
    <row r="81" spans="1:2" ht="18.5" x14ac:dyDescent="0.35">
      <c r="A81" s="806" t="s">
        <v>510</v>
      </c>
      <c r="B81">
        <v>-1.4551915228366852E-11</v>
      </c>
    </row>
    <row r="82" spans="1:2" ht="18.5" x14ac:dyDescent="0.35">
      <c r="A82" s="801" t="s">
        <v>197</v>
      </c>
      <c r="B82">
        <v>-2.9103830456733704E-11</v>
      </c>
    </row>
    <row r="83" spans="1:2" ht="18.5" x14ac:dyDescent="0.35">
      <c r="A83" s="806" t="s">
        <v>482</v>
      </c>
      <c r="B83">
        <v>-2.9103830456733704E-11</v>
      </c>
    </row>
    <row r="84" spans="1:2" ht="18.5" x14ac:dyDescent="0.35">
      <c r="A84" s="806" t="s">
        <v>370</v>
      </c>
      <c r="B84">
        <v>-2.0000000009604264</v>
      </c>
    </row>
    <row r="85" spans="1:2" ht="18.5" x14ac:dyDescent="0.35">
      <c r="A85" s="806" t="s">
        <v>343</v>
      </c>
      <c r="B85">
        <v>-36.199999999837019</v>
      </c>
    </row>
    <row r="86" spans="1:2" ht="18.5" x14ac:dyDescent="0.35">
      <c r="A86" s="806" t="s">
        <v>481</v>
      </c>
      <c r="B86">
        <v>-133.74000000000888</v>
      </c>
    </row>
    <row r="87" spans="1:2" ht="18.5" x14ac:dyDescent="0.35">
      <c r="A87" s="806" t="s">
        <v>91</v>
      </c>
      <c r="B87">
        <v>-501.40999999968335</v>
      </c>
    </row>
    <row r="88" spans="1:2" ht="18.5" x14ac:dyDescent="0.35">
      <c r="A88" s="806" t="s">
        <v>80</v>
      </c>
      <c r="B88">
        <v>-2184.6839999999829</v>
      </c>
    </row>
    <row r="89" spans="1:2" ht="18.5" x14ac:dyDescent="0.35">
      <c r="A89" s="850" t="s">
        <v>189</v>
      </c>
      <c r="B89">
        <v>-2348.8999999994412</v>
      </c>
    </row>
    <row r="90" spans="1:2" ht="18.5" x14ac:dyDescent="0.35">
      <c r="A90" s="806" t="s">
        <v>417</v>
      </c>
      <c r="B90">
        <v>-2858.9200000000928</v>
      </c>
    </row>
    <row r="91" spans="1:2" ht="18.5" x14ac:dyDescent="0.35">
      <c r="A91" s="806" t="s">
        <v>89</v>
      </c>
      <c r="B91">
        <v>-4655.5600000000559</v>
      </c>
    </row>
    <row r="92" spans="1:2" ht="18.5" x14ac:dyDescent="0.35">
      <c r="A92" s="806" t="s">
        <v>63</v>
      </c>
      <c r="B92">
        <v>-4925.8499999995111</v>
      </c>
    </row>
    <row r="93" spans="1:2" ht="18.5" x14ac:dyDescent="0.35">
      <c r="A93" s="806" t="s">
        <v>84</v>
      </c>
      <c r="B93">
        <v>-5959.0299999996205</v>
      </c>
    </row>
    <row r="94" spans="1:2" ht="18.5" x14ac:dyDescent="0.35">
      <c r="A94" s="806" t="s">
        <v>76</v>
      </c>
      <c r="B94">
        <v>-6676.2799999998833</v>
      </c>
    </row>
    <row r="95" spans="1:2" ht="18.5" x14ac:dyDescent="0.35">
      <c r="A95" s="806" t="s">
        <v>439</v>
      </c>
      <c r="B95">
        <v>-21803.759999999998</v>
      </c>
    </row>
    <row r="96" spans="1:2" ht="18.5" x14ac:dyDescent="0.35">
      <c r="A96" s="806" t="s">
        <v>191</v>
      </c>
      <c r="B96">
        <v>-29297.360000000015</v>
      </c>
    </row>
    <row r="97" spans="1:2" ht="18.5" x14ac:dyDescent="0.35">
      <c r="A97" s="806" t="s">
        <v>77</v>
      </c>
      <c r="B97">
        <v>-35689.800000000032</v>
      </c>
    </row>
    <row r="98" spans="1:2" ht="18.5" x14ac:dyDescent="0.35">
      <c r="A98" s="806" t="s">
        <v>435</v>
      </c>
      <c r="B98">
        <v>-39944.120000000003</v>
      </c>
    </row>
    <row r="99" spans="1:2" ht="18.5" x14ac:dyDescent="0.35">
      <c r="A99" s="806" t="s">
        <v>78</v>
      </c>
      <c r="B99">
        <v>-113497.31999998927</v>
      </c>
    </row>
    <row r="100" spans="1:2" ht="18.5" x14ac:dyDescent="0.35">
      <c r="A100" s="806" t="s">
        <v>194</v>
      </c>
      <c r="B100">
        <v>-115236.29000000001</v>
      </c>
    </row>
    <row r="101" spans="1:2" ht="18.5" x14ac:dyDescent="0.35">
      <c r="A101" s="806" t="s">
        <v>441</v>
      </c>
      <c r="B101">
        <v>-135954.03000000003</v>
      </c>
    </row>
    <row r="102" spans="1:2" ht="18.5" x14ac:dyDescent="0.35">
      <c r="A102" s="806" t="s">
        <v>371</v>
      </c>
      <c r="B102">
        <v>-207956.99000000008</v>
      </c>
    </row>
    <row r="103" spans="1:2" ht="18.5" x14ac:dyDescent="0.35">
      <c r="A103" s="806" t="s">
        <v>55</v>
      </c>
      <c r="B103">
        <v>-221089.2</v>
      </c>
    </row>
    <row r="104" spans="1:2" ht="18.5" x14ac:dyDescent="0.35">
      <c r="A104" s="806" t="s">
        <v>190</v>
      </c>
      <c r="B104">
        <v>-265954.98</v>
      </c>
    </row>
    <row r="105" spans="1:2" ht="18.5" x14ac:dyDescent="0.35">
      <c r="A105" s="806" t="s">
        <v>438</v>
      </c>
      <c r="B105">
        <v>-1120862.76</v>
      </c>
    </row>
    <row r="106" spans="1:2" ht="18.5" x14ac:dyDescent="0.35">
      <c r="A106" s="643" t="s">
        <v>24</v>
      </c>
      <c r="B106">
        <v>-1322693.5759999971</v>
      </c>
    </row>
  </sheetData>
  <sortState xmlns:xlrd2="http://schemas.microsoft.com/office/spreadsheetml/2017/richdata2" ref="A1:B106">
    <sortCondition descending="1" ref="B1:B106"/>
  </sortState>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BB744-F670-471C-BCB9-D46A39CAD0DA}">
  <dimension ref="A1:K88"/>
  <sheetViews>
    <sheetView tabSelected="1" zoomScale="60" zoomScaleNormal="60" workbookViewId="0">
      <selection activeCell="H13" sqref="H13"/>
    </sheetView>
  </sheetViews>
  <sheetFormatPr defaultRowHeight="14.5" x14ac:dyDescent="0.35"/>
  <cols>
    <col min="1" max="1" width="71.54296875" customWidth="1"/>
    <col min="2" max="2" width="17.7265625" style="1022" customWidth="1"/>
    <col min="3" max="3" width="11.1796875" style="1022" customWidth="1"/>
    <col min="4" max="4" width="13" style="1021" customWidth="1"/>
    <col min="5" max="5" width="14.26953125" style="1022" bestFit="1" customWidth="1"/>
    <col min="6" max="6" width="10.7265625" style="1022" bestFit="1" customWidth="1"/>
    <col min="7" max="7" width="10.7265625" style="1021" customWidth="1"/>
    <col min="8" max="8" width="12.08984375" style="1021" customWidth="1"/>
    <col min="9" max="11" width="8.7265625" style="1021"/>
  </cols>
  <sheetData>
    <row r="1" spans="1:11" x14ac:dyDescent="0.35">
      <c r="A1" s="1023" t="s">
        <v>94</v>
      </c>
    </row>
    <row r="2" spans="1:11" x14ac:dyDescent="0.35">
      <c r="A2" s="1023" t="s">
        <v>1256</v>
      </c>
    </row>
    <row r="3" spans="1:11" s="894" customFormat="1" x14ac:dyDescent="0.35">
      <c r="A3" s="1023"/>
      <c r="B3" s="1022"/>
      <c r="C3" s="1022"/>
      <c r="D3" s="1021"/>
      <c r="E3" s="1022"/>
      <c r="F3" s="1022"/>
      <c r="G3" s="1021"/>
      <c r="H3" s="1021"/>
      <c r="I3" s="1021"/>
      <c r="J3" s="1021"/>
      <c r="K3" s="1021"/>
    </row>
    <row r="4" spans="1:11" s="894" customFormat="1" x14ac:dyDescent="0.35">
      <c r="A4" s="1023"/>
      <c r="B4" s="1022"/>
      <c r="C4" s="1022"/>
      <c r="D4" s="1021"/>
      <c r="E4" s="1022"/>
      <c r="F4" s="1022"/>
      <c r="G4" s="1021"/>
      <c r="H4" s="1021"/>
      <c r="I4" s="1021"/>
      <c r="J4" s="1021"/>
      <c r="K4" s="1021"/>
    </row>
    <row r="5" spans="1:11" ht="72.5" x14ac:dyDescent="0.35">
      <c r="A5" s="710" t="s">
        <v>1217</v>
      </c>
      <c r="B5" s="1026" t="s">
        <v>1218</v>
      </c>
      <c r="C5" s="1026" t="s">
        <v>1219</v>
      </c>
      <c r="D5" s="1027" t="s">
        <v>1220</v>
      </c>
      <c r="E5" s="1026" t="s">
        <v>1221</v>
      </c>
      <c r="F5" s="1026" t="s">
        <v>1222</v>
      </c>
      <c r="G5" s="1027" t="s">
        <v>1223</v>
      </c>
      <c r="H5" s="1027" t="s">
        <v>1224</v>
      </c>
    </row>
    <row r="6" spans="1:11" x14ac:dyDescent="0.35">
      <c r="A6" s="325"/>
      <c r="B6" s="1026" t="s">
        <v>1225</v>
      </c>
      <c r="C6" s="1026" t="s">
        <v>1225</v>
      </c>
      <c r="D6" s="1027" t="s">
        <v>1225</v>
      </c>
      <c r="E6" s="1026" t="s">
        <v>1225</v>
      </c>
      <c r="F6" s="1026" t="s">
        <v>1225</v>
      </c>
      <c r="G6" s="1027" t="s">
        <v>1225</v>
      </c>
      <c r="H6" s="1027" t="s">
        <v>1225</v>
      </c>
    </row>
    <row r="7" spans="1:11" ht="18.5" x14ac:dyDescent="0.35">
      <c r="A7" s="850" t="s">
        <v>361</v>
      </c>
      <c r="B7" s="1024">
        <f>39944757.4866001/1000</f>
        <v>39944.757486600101</v>
      </c>
      <c r="C7" s="1024">
        <v>38445</v>
      </c>
      <c r="D7" s="1025">
        <f>B7-C7</f>
        <v>1499.7574866001014</v>
      </c>
      <c r="E7" s="1024">
        <f>116263173.73/1000</f>
        <v>116263.17373000001</v>
      </c>
      <c r="F7" s="1024">
        <v>97172</v>
      </c>
      <c r="G7" s="1025">
        <f>E7-F7</f>
        <v>19091.17373000001</v>
      </c>
      <c r="H7" s="1025">
        <f>B7-C7+E7-F7</f>
        <v>20590.931216600118</v>
      </c>
    </row>
    <row r="8" spans="1:11" ht="18.5" x14ac:dyDescent="0.35">
      <c r="A8" s="801" t="s">
        <v>1257</v>
      </c>
      <c r="B8" s="1024">
        <f>8062386.94000004/1000</f>
        <v>8062.3869400000403</v>
      </c>
      <c r="C8" s="1024">
        <f>8062386.94000004/1000</f>
        <v>8062.3869400000403</v>
      </c>
      <c r="D8" s="1025">
        <f t="shared" ref="D8:D71" si="0">B8-C8</f>
        <v>0</v>
      </c>
      <c r="E8" s="1024">
        <v>54764</v>
      </c>
      <c r="F8" s="1024">
        <v>54764</v>
      </c>
      <c r="G8" s="1025">
        <f t="shared" ref="G8:G71" si="1">E8-F8</f>
        <v>0</v>
      </c>
      <c r="H8" s="1025">
        <f t="shared" ref="H8:H71" si="2">B8-C8+E8-F8</f>
        <v>0</v>
      </c>
    </row>
    <row r="9" spans="1:11" ht="18.5" x14ac:dyDescent="0.35">
      <c r="A9" s="801" t="s">
        <v>1226</v>
      </c>
      <c r="B9" s="1024">
        <f>984918.279999995/1000</f>
        <v>984.91827999999498</v>
      </c>
      <c r="C9" s="1024">
        <f>984918.279999995/1000</f>
        <v>984.91827999999498</v>
      </c>
      <c r="D9" s="1025">
        <f t="shared" si="0"/>
        <v>0</v>
      </c>
      <c r="E9" s="1024">
        <v>23635</v>
      </c>
      <c r="F9" s="1024">
        <v>19634</v>
      </c>
      <c r="G9" s="1025">
        <f t="shared" si="1"/>
        <v>4001</v>
      </c>
      <c r="H9" s="1025">
        <f t="shared" si="2"/>
        <v>4001</v>
      </c>
    </row>
    <row r="10" spans="1:11" ht="18.5" x14ac:dyDescent="0.35">
      <c r="A10" s="850" t="s">
        <v>1258</v>
      </c>
      <c r="B10" s="1024">
        <f>1741734.3/1000</f>
        <v>1741.7343000000001</v>
      </c>
      <c r="C10" s="1024">
        <f>1741734.3/1000</f>
        <v>1741.7343000000001</v>
      </c>
      <c r="D10" s="1025">
        <f t="shared" si="0"/>
        <v>0</v>
      </c>
      <c r="E10" s="1024">
        <v>11733</v>
      </c>
      <c r="F10" s="1024">
        <v>7912</v>
      </c>
      <c r="G10" s="1025">
        <f t="shared" si="1"/>
        <v>3821</v>
      </c>
      <c r="H10" s="1025">
        <f t="shared" si="2"/>
        <v>3821</v>
      </c>
    </row>
    <row r="11" spans="1:11" ht="18.5" x14ac:dyDescent="0.35">
      <c r="A11" s="801" t="s">
        <v>335</v>
      </c>
      <c r="B11" s="1024">
        <f>2226134.87000001/1000</f>
        <v>2226.1348700000099</v>
      </c>
      <c r="C11" s="1024">
        <f>2226134.87000001/1000</f>
        <v>2226.1348700000099</v>
      </c>
      <c r="D11" s="1025">
        <f t="shared" si="0"/>
        <v>0</v>
      </c>
      <c r="E11" s="1024">
        <v>13053</v>
      </c>
      <c r="F11" s="1024">
        <v>10698</v>
      </c>
      <c r="G11" s="1025">
        <f t="shared" si="1"/>
        <v>2355</v>
      </c>
      <c r="H11" s="1025">
        <f t="shared" si="2"/>
        <v>2355</v>
      </c>
    </row>
    <row r="12" spans="1:11" ht="18.5" x14ac:dyDescent="0.35">
      <c r="A12" s="801" t="s">
        <v>1227</v>
      </c>
      <c r="B12" s="1024">
        <f>1939984.45/1000</f>
        <v>1939.9844499999999</v>
      </c>
      <c r="C12" s="1024">
        <v>0</v>
      </c>
      <c r="D12" s="1025">
        <f t="shared" si="0"/>
        <v>1939.9844499999999</v>
      </c>
      <c r="E12" s="1024">
        <v>366</v>
      </c>
      <c r="F12" s="1024">
        <v>0</v>
      </c>
      <c r="G12" s="1025">
        <f t="shared" si="1"/>
        <v>366</v>
      </c>
      <c r="H12" s="1025">
        <f t="shared" si="2"/>
        <v>2305.9844499999999</v>
      </c>
    </row>
    <row r="13" spans="1:11" ht="18.5" x14ac:dyDescent="0.35">
      <c r="A13" s="801" t="s">
        <v>36</v>
      </c>
      <c r="B13" s="1024">
        <f>4357783.76/1000</f>
        <v>4357.7837599999993</v>
      </c>
      <c r="C13" s="1024">
        <f>4357783.76/1000</f>
        <v>4357.7837599999993</v>
      </c>
      <c r="D13" s="1025">
        <f t="shared" si="0"/>
        <v>0</v>
      </c>
      <c r="E13" s="1024">
        <v>6697</v>
      </c>
      <c r="F13" s="1024">
        <v>4561</v>
      </c>
      <c r="G13" s="1025">
        <f t="shared" si="1"/>
        <v>2136</v>
      </c>
      <c r="H13" s="1025">
        <f t="shared" si="2"/>
        <v>2136</v>
      </c>
    </row>
    <row r="14" spans="1:11" ht="18.5" x14ac:dyDescent="0.35">
      <c r="A14" s="801" t="s">
        <v>1228</v>
      </c>
      <c r="B14" s="1024">
        <f>2425012.82/1000</f>
        <v>2425.0128199999999</v>
      </c>
      <c r="C14" s="1024">
        <f>1063384.25/1000</f>
        <v>1063.3842500000001</v>
      </c>
      <c r="D14" s="1025">
        <f t="shared" si="0"/>
        <v>1361.6285699999999</v>
      </c>
      <c r="E14" s="1024">
        <v>4559</v>
      </c>
      <c r="F14" s="1024">
        <v>2741</v>
      </c>
      <c r="G14" s="1025">
        <f t="shared" si="1"/>
        <v>1818</v>
      </c>
      <c r="H14" s="1025">
        <f t="shared" si="2"/>
        <v>3179.6285699999999</v>
      </c>
    </row>
    <row r="15" spans="1:11" ht="18.5" x14ac:dyDescent="0.35">
      <c r="A15" s="801" t="s">
        <v>1229</v>
      </c>
      <c r="B15" s="1024">
        <f>1036559.13/1000</f>
        <v>1036.5591300000001</v>
      </c>
      <c r="C15" s="1024">
        <v>0</v>
      </c>
      <c r="D15" s="1025">
        <f t="shared" si="0"/>
        <v>1036.5591300000001</v>
      </c>
      <c r="E15" s="1024">
        <v>1486</v>
      </c>
      <c r="F15" s="1024">
        <v>717</v>
      </c>
      <c r="G15" s="1025">
        <f t="shared" si="1"/>
        <v>769</v>
      </c>
      <c r="H15" s="1025">
        <f t="shared" si="2"/>
        <v>1805.5591300000001</v>
      </c>
    </row>
    <row r="16" spans="1:11" ht="18.5" x14ac:dyDescent="0.35">
      <c r="A16" s="850" t="s">
        <v>1230</v>
      </c>
      <c r="B16" s="1024">
        <f>2668277.24/1000</f>
        <v>2668.2772400000003</v>
      </c>
      <c r="C16" s="1024">
        <f>2668277.24/1000</f>
        <v>2668.2772400000003</v>
      </c>
      <c r="D16" s="1025">
        <f t="shared" si="0"/>
        <v>0</v>
      </c>
      <c r="E16" s="1024">
        <v>10518</v>
      </c>
      <c r="F16" s="1024">
        <v>8729</v>
      </c>
      <c r="G16" s="1025">
        <f t="shared" si="1"/>
        <v>1789</v>
      </c>
      <c r="H16" s="1025">
        <f t="shared" si="2"/>
        <v>1789</v>
      </c>
    </row>
    <row r="17" spans="1:8" ht="18.5" x14ac:dyDescent="0.35">
      <c r="A17" s="801" t="s">
        <v>1231</v>
      </c>
      <c r="B17" s="1024">
        <f>1099971.74/1000</f>
        <v>1099.97174</v>
      </c>
      <c r="C17" s="1024">
        <v>0</v>
      </c>
      <c r="D17" s="1025">
        <f t="shared" si="0"/>
        <v>1099.97174</v>
      </c>
      <c r="E17" s="1024">
        <v>655</v>
      </c>
      <c r="F17" s="1024">
        <v>118</v>
      </c>
      <c r="G17" s="1025">
        <f t="shared" si="1"/>
        <v>537</v>
      </c>
      <c r="H17" s="1025">
        <f t="shared" si="2"/>
        <v>1636.97174</v>
      </c>
    </row>
    <row r="18" spans="1:8" ht="18.5" x14ac:dyDescent="0.35">
      <c r="A18" s="801" t="s">
        <v>57</v>
      </c>
      <c r="B18" s="1024">
        <f>1412419.09/1000</f>
        <v>1412.4190900000001</v>
      </c>
      <c r="C18" s="1024">
        <f>1412419.09/1000</f>
        <v>1412.4190900000001</v>
      </c>
      <c r="D18" s="1025">
        <f t="shared" si="0"/>
        <v>0</v>
      </c>
      <c r="E18" s="1024">
        <v>8057</v>
      </c>
      <c r="F18" s="1024">
        <v>6542</v>
      </c>
      <c r="G18" s="1025">
        <f t="shared" si="1"/>
        <v>1515</v>
      </c>
      <c r="H18" s="1025">
        <f t="shared" si="2"/>
        <v>1515</v>
      </c>
    </row>
    <row r="19" spans="1:8" ht="18.5" x14ac:dyDescent="0.35">
      <c r="A19" s="801" t="s">
        <v>1232</v>
      </c>
      <c r="B19" s="1024">
        <f>1494035.29/1000</f>
        <v>1494.03529</v>
      </c>
      <c r="C19" s="1024">
        <v>652</v>
      </c>
      <c r="D19" s="1025">
        <f t="shared" si="0"/>
        <v>842.03529000000003</v>
      </c>
      <c r="E19" s="1024">
        <v>1665</v>
      </c>
      <c r="F19" s="1024">
        <v>236</v>
      </c>
      <c r="G19" s="1025">
        <f t="shared" si="1"/>
        <v>1429</v>
      </c>
      <c r="H19" s="1025">
        <f t="shared" si="2"/>
        <v>2271.0352899999998</v>
      </c>
    </row>
    <row r="20" spans="1:8" ht="18.5" x14ac:dyDescent="0.35">
      <c r="A20" s="801" t="s">
        <v>27</v>
      </c>
      <c r="B20" s="1024">
        <f>1154767.38/1000</f>
        <v>1154.7673799999998</v>
      </c>
      <c r="C20" s="1024">
        <v>0</v>
      </c>
      <c r="D20" s="1025">
        <f t="shared" si="0"/>
        <v>1154.7673799999998</v>
      </c>
      <c r="E20" s="1024">
        <v>246</v>
      </c>
      <c r="F20" s="1024">
        <v>0</v>
      </c>
      <c r="G20" s="1025">
        <f t="shared" si="1"/>
        <v>246</v>
      </c>
      <c r="H20" s="1025">
        <f t="shared" si="2"/>
        <v>1400.7673799999998</v>
      </c>
    </row>
    <row r="21" spans="1:8" ht="18.5" x14ac:dyDescent="0.35">
      <c r="A21" s="801" t="s">
        <v>308</v>
      </c>
      <c r="B21" s="1024">
        <f>1055257.42/1000</f>
        <v>1055.2574199999999</v>
      </c>
      <c r="C21" s="1024">
        <f>1055257.42/1000</f>
        <v>1055.2574199999999</v>
      </c>
      <c r="D21" s="1025">
        <f t="shared" si="0"/>
        <v>0</v>
      </c>
      <c r="E21" s="1024">
        <v>6277</v>
      </c>
      <c r="F21" s="1024">
        <v>5190</v>
      </c>
      <c r="G21" s="1025">
        <f t="shared" si="1"/>
        <v>1087</v>
      </c>
      <c r="H21" s="1025">
        <f t="shared" si="2"/>
        <v>1087</v>
      </c>
    </row>
    <row r="22" spans="1:8" ht="18.5" x14ac:dyDescent="0.35">
      <c r="A22" s="850" t="s">
        <v>1233</v>
      </c>
      <c r="B22" s="1024">
        <f>733682.909999997/1000</f>
        <v>733.68290999999704</v>
      </c>
      <c r="C22" s="1024">
        <f>733682.909999997/1000</f>
        <v>733.68290999999704</v>
      </c>
      <c r="D22" s="1025">
        <f t="shared" si="0"/>
        <v>0</v>
      </c>
      <c r="E22" s="1024">
        <v>4732</v>
      </c>
      <c r="F22" s="1024">
        <v>3937</v>
      </c>
      <c r="G22" s="1025">
        <f t="shared" si="1"/>
        <v>795</v>
      </c>
      <c r="H22" s="1025">
        <f t="shared" si="2"/>
        <v>795</v>
      </c>
    </row>
    <row r="23" spans="1:8" ht="18.5" x14ac:dyDescent="0.35">
      <c r="A23" s="801" t="s">
        <v>1234</v>
      </c>
      <c r="B23" s="1024">
        <f>1107637.4/1000</f>
        <v>1107.6373999999998</v>
      </c>
      <c r="C23" s="1024">
        <f>1107637.4/1000</f>
        <v>1107.6373999999998</v>
      </c>
      <c r="D23" s="1025">
        <f t="shared" si="0"/>
        <v>0</v>
      </c>
      <c r="E23" s="1024">
        <v>3064</v>
      </c>
      <c r="F23" s="1024">
        <v>2340</v>
      </c>
      <c r="G23" s="1025">
        <f t="shared" si="1"/>
        <v>724</v>
      </c>
      <c r="H23" s="1025">
        <f t="shared" si="2"/>
        <v>724</v>
      </c>
    </row>
    <row r="24" spans="1:8" ht="18.5" x14ac:dyDescent="0.35">
      <c r="A24" s="801" t="s">
        <v>1235</v>
      </c>
      <c r="B24" s="1024">
        <f>877957.9683/1000</f>
        <v>877.95796829999995</v>
      </c>
      <c r="C24" s="1024">
        <v>193</v>
      </c>
      <c r="D24" s="1025">
        <f t="shared" si="0"/>
        <v>684.95796829999995</v>
      </c>
      <c r="E24" s="1024">
        <v>515</v>
      </c>
      <c r="F24" s="1024">
        <v>515</v>
      </c>
      <c r="G24" s="1025">
        <f t="shared" si="1"/>
        <v>0</v>
      </c>
      <c r="H24" s="1025">
        <f t="shared" si="2"/>
        <v>684.95796829999995</v>
      </c>
    </row>
    <row r="25" spans="1:8" ht="18.5" x14ac:dyDescent="0.35">
      <c r="A25" s="801" t="s">
        <v>185</v>
      </c>
      <c r="B25" s="1024">
        <f>663774.710000003/1000</f>
        <v>663.77471000000298</v>
      </c>
      <c r="C25" s="1024">
        <v>0</v>
      </c>
      <c r="D25" s="1025">
        <f t="shared" si="0"/>
        <v>663.77471000000298</v>
      </c>
      <c r="E25" s="1024">
        <v>0</v>
      </c>
      <c r="F25" s="1024">
        <v>0</v>
      </c>
      <c r="G25" s="1025">
        <f t="shared" si="1"/>
        <v>0</v>
      </c>
      <c r="H25" s="1025">
        <f t="shared" si="2"/>
        <v>663.77471000000298</v>
      </c>
    </row>
    <row r="26" spans="1:8" ht="18.5" x14ac:dyDescent="0.35">
      <c r="A26" s="801" t="s">
        <v>42</v>
      </c>
      <c r="B26" s="1024">
        <f>660762.060000001/1000</f>
        <v>660.76206000000104</v>
      </c>
      <c r="C26" s="1024">
        <f>660762.060000001/1000</f>
        <v>660.76206000000104</v>
      </c>
      <c r="D26" s="1025">
        <f t="shared" si="0"/>
        <v>0</v>
      </c>
      <c r="E26" s="1024">
        <v>4035</v>
      </c>
      <c r="F26" s="1024">
        <v>4035</v>
      </c>
      <c r="G26" s="1025">
        <f t="shared" si="1"/>
        <v>0</v>
      </c>
      <c r="H26" s="1025">
        <f t="shared" si="2"/>
        <v>0</v>
      </c>
    </row>
    <row r="27" spans="1:8" ht="18.5" x14ac:dyDescent="0.35">
      <c r="A27" s="801" t="s">
        <v>1236</v>
      </c>
      <c r="B27" s="1024">
        <f>604156.06/1000</f>
        <v>604.15606000000002</v>
      </c>
      <c r="C27" s="1024">
        <v>0</v>
      </c>
      <c r="D27" s="1025">
        <f t="shared" si="0"/>
        <v>604.15606000000002</v>
      </c>
      <c r="E27" s="1024">
        <v>7</v>
      </c>
      <c r="F27" s="1024">
        <v>0</v>
      </c>
      <c r="G27" s="1025">
        <f t="shared" si="1"/>
        <v>7</v>
      </c>
      <c r="H27" s="1025">
        <f t="shared" si="2"/>
        <v>611.15606000000002</v>
      </c>
    </row>
    <row r="28" spans="1:8" ht="18.5" x14ac:dyDescent="0.35">
      <c r="A28" s="801" t="s">
        <v>1237</v>
      </c>
      <c r="B28" s="1024">
        <f>469633.55/1000</f>
        <v>469.63355000000001</v>
      </c>
      <c r="C28" s="1024">
        <f>469633.55/1000</f>
        <v>469.63355000000001</v>
      </c>
      <c r="D28" s="1025">
        <f t="shared" si="0"/>
        <v>0</v>
      </c>
      <c r="E28" s="1024">
        <v>3306</v>
      </c>
      <c r="F28" s="1024">
        <v>2716</v>
      </c>
      <c r="G28" s="1025">
        <f t="shared" si="1"/>
        <v>590</v>
      </c>
      <c r="H28" s="1025">
        <f t="shared" si="2"/>
        <v>590</v>
      </c>
    </row>
    <row r="29" spans="1:8" ht="18.5" x14ac:dyDescent="0.35">
      <c r="A29" s="801" t="s">
        <v>56</v>
      </c>
      <c r="B29" s="1024">
        <f>583040/1000</f>
        <v>583.04</v>
      </c>
      <c r="C29" s="1024">
        <v>0</v>
      </c>
      <c r="D29" s="1025">
        <f t="shared" si="0"/>
        <v>583.04</v>
      </c>
      <c r="E29" s="1024">
        <v>0</v>
      </c>
      <c r="F29" s="1024">
        <v>0</v>
      </c>
      <c r="G29" s="1025">
        <f t="shared" si="1"/>
        <v>0</v>
      </c>
      <c r="H29" s="1025">
        <f t="shared" si="2"/>
        <v>583.04</v>
      </c>
    </row>
    <row r="30" spans="1:8" ht="18.5" x14ac:dyDescent="0.35">
      <c r="A30" s="801" t="s">
        <v>1238</v>
      </c>
      <c r="B30" s="1024">
        <f>7850707.11600001/1000</f>
        <v>7850.7071160000096</v>
      </c>
      <c r="C30" s="1024">
        <f>7850707.11600001/1000</f>
        <v>7850.7071160000096</v>
      </c>
      <c r="D30" s="1025">
        <f t="shared" si="0"/>
        <v>0</v>
      </c>
      <c r="E30" s="1024">
        <v>41152</v>
      </c>
      <c r="F30" s="1024">
        <v>40639</v>
      </c>
      <c r="G30" s="1025">
        <f t="shared" si="1"/>
        <v>513</v>
      </c>
      <c r="H30" s="1025">
        <f t="shared" si="2"/>
        <v>513</v>
      </c>
    </row>
    <row r="31" spans="1:8" ht="18.5" x14ac:dyDescent="0.35">
      <c r="A31" s="801" t="s">
        <v>1239</v>
      </c>
      <c r="B31" s="1024">
        <f>416348.5/1000</f>
        <v>416.3485</v>
      </c>
      <c r="C31" s="1024">
        <v>0</v>
      </c>
      <c r="D31" s="1025">
        <f t="shared" si="0"/>
        <v>416.3485</v>
      </c>
      <c r="E31" s="1024">
        <v>0</v>
      </c>
      <c r="F31" s="1024">
        <v>0</v>
      </c>
      <c r="G31" s="1025">
        <f t="shared" si="1"/>
        <v>0</v>
      </c>
      <c r="H31" s="1025">
        <f t="shared" si="2"/>
        <v>416.3485</v>
      </c>
    </row>
    <row r="32" spans="1:8" ht="18.5" x14ac:dyDescent="0.35">
      <c r="A32" s="801" t="s">
        <v>1240</v>
      </c>
      <c r="B32" s="1024">
        <f>351369.84/1000</f>
        <v>351.36984000000001</v>
      </c>
      <c r="C32" s="1024">
        <v>0</v>
      </c>
      <c r="D32" s="1025">
        <f t="shared" si="0"/>
        <v>351.36984000000001</v>
      </c>
      <c r="E32" s="1024">
        <v>53</v>
      </c>
      <c r="F32" s="1024">
        <v>0</v>
      </c>
      <c r="G32" s="1025">
        <f t="shared" si="1"/>
        <v>53</v>
      </c>
      <c r="H32" s="1025">
        <f t="shared" si="2"/>
        <v>404.36984000000001</v>
      </c>
    </row>
    <row r="33" spans="1:8" ht="18.5" x14ac:dyDescent="0.35">
      <c r="A33" s="801" t="s">
        <v>1241</v>
      </c>
      <c r="B33" s="1024">
        <f>311810.04/1000</f>
        <v>311.81003999999996</v>
      </c>
      <c r="C33" s="1024">
        <v>0</v>
      </c>
      <c r="D33" s="1025">
        <f t="shared" si="0"/>
        <v>311.81003999999996</v>
      </c>
      <c r="E33" s="1024">
        <v>82</v>
      </c>
      <c r="F33" s="1024">
        <v>0</v>
      </c>
      <c r="G33" s="1025">
        <f t="shared" si="1"/>
        <v>82</v>
      </c>
      <c r="H33" s="1025">
        <f t="shared" si="2"/>
        <v>393.81003999999996</v>
      </c>
    </row>
    <row r="34" spans="1:8" ht="18.5" x14ac:dyDescent="0.35">
      <c r="A34" s="801" t="s">
        <v>500</v>
      </c>
      <c r="B34" s="1024">
        <f>292257.81/1000</f>
        <v>292.25781000000001</v>
      </c>
      <c r="C34" s="1024">
        <f>292257.81/1000</f>
        <v>292.25781000000001</v>
      </c>
      <c r="D34" s="1025">
        <f t="shared" si="0"/>
        <v>0</v>
      </c>
      <c r="E34" s="1024">
        <v>1998</v>
      </c>
      <c r="F34" s="1024">
        <v>1611</v>
      </c>
      <c r="G34" s="1025">
        <f t="shared" si="1"/>
        <v>387</v>
      </c>
      <c r="H34" s="1025">
        <f t="shared" si="2"/>
        <v>387</v>
      </c>
    </row>
    <row r="35" spans="1:8" ht="18.5" x14ac:dyDescent="0.35">
      <c r="A35" s="801" t="s">
        <v>334</v>
      </c>
      <c r="B35" s="1024">
        <f>262470.999999998/1000</f>
        <v>262.47099999999801</v>
      </c>
      <c r="C35" s="1024">
        <v>0</v>
      </c>
      <c r="D35" s="1025">
        <f t="shared" si="0"/>
        <v>262.47099999999801</v>
      </c>
      <c r="E35" s="1024">
        <v>52</v>
      </c>
      <c r="F35" s="1024">
        <v>0</v>
      </c>
      <c r="G35" s="1025">
        <f t="shared" si="1"/>
        <v>52</v>
      </c>
      <c r="H35" s="1025">
        <f t="shared" si="2"/>
        <v>314.47099999999801</v>
      </c>
    </row>
    <row r="36" spans="1:8" ht="18.5" x14ac:dyDescent="0.35">
      <c r="A36" s="801" t="s">
        <v>52</v>
      </c>
      <c r="B36" s="1024">
        <f>313552.89/1000</f>
        <v>313.55288999999999</v>
      </c>
      <c r="C36" s="1024">
        <v>0</v>
      </c>
      <c r="D36" s="1025">
        <f t="shared" si="0"/>
        <v>313.55288999999999</v>
      </c>
      <c r="E36" s="1024">
        <v>0</v>
      </c>
      <c r="F36" s="1024">
        <v>0</v>
      </c>
      <c r="G36" s="1025">
        <f t="shared" si="1"/>
        <v>0</v>
      </c>
      <c r="H36" s="1025">
        <f t="shared" si="2"/>
        <v>313.55288999999999</v>
      </c>
    </row>
    <row r="37" spans="1:8" ht="18.5" x14ac:dyDescent="0.35">
      <c r="A37" s="801" t="s">
        <v>85</v>
      </c>
      <c r="B37" s="1024">
        <f>213825/1000</f>
        <v>213.82499999999999</v>
      </c>
      <c r="C37" s="1024">
        <v>0</v>
      </c>
      <c r="D37" s="1025">
        <f t="shared" si="0"/>
        <v>213.82499999999999</v>
      </c>
      <c r="E37" s="1024">
        <v>51</v>
      </c>
      <c r="F37" s="1024">
        <v>0</v>
      </c>
      <c r="G37" s="1025">
        <f t="shared" si="1"/>
        <v>51</v>
      </c>
      <c r="H37" s="1025">
        <f t="shared" si="2"/>
        <v>264.82499999999999</v>
      </c>
    </row>
    <row r="38" spans="1:8" ht="18.5" x14ac:dyDescent="0.35">
      <c r="A38" s="801" t="s">
        <v>86</v>
      </c>
      <c r="B38" s="1024">
        <f>193800/1000</f>
        <v>193.8</v>
      </c>
      <c r="C38" s="1024">
        <v>0</v>
      </c>
      <c r="D38" s="1025">
        <f t="shared" si="0"/>
        <v>193.8</v>
      </c>
      <c r="E38" s="1024">
        <v>47</v>
      </c>
      <c r="F38" s="1024">
        <v>0</v>
      </c>
      <c r="G38" s="1025">
        <f t="shared" si="1"/>
        <v>47</v>
      </c>
      <c r="H38" s="1025">
        <f t="shared" si="2"/>
        <v>240.8</v>
      </c>
    </row>
    <row r="39" spans="1:8" ht="18.5" x14ac:dyDescent="0.35">
      <c r="A39" s="801" t="s">
        <v>46</v>
      </c>
      <c r="B39" s="1024">
        <f>184597.42/1000</f>
        <v>184.59742</v>
      </c>
      <c r="C39" s="1024">
        <v>173</v>
      </c>
      <c r="D39" s="1025">
        <f t="shared" si="0"/>
        <v>11.59742</v>
      </c>
      <c r="E39" s="1024">
        <v>1019</v>
      </c>
      <c r="F39" s="1024">
        <v>792</v>
      </c>
      <c r="G39" s="1025">
        <f t="shared" si="1"/>
        <v>227</v>
      </c>
      <c r="H39" s="1025">
        <f t="shared" si="2"/>
        <v>238.59742000000006</v>
      </c>
    </row>
    <row r="40" spans="1:8" ht="18.5" x14ac:dyDescent="0.35">
      <c r="A40" s="801" t="s">
        <v>1242</v>
      </c>
      <c r="B40" s="1024">
        <f>225040.74/1000</f>
        <v>225.04074</v>
      </c>
      <c r="C40" s="1024">
        <f>225040.74/1000</f>
        <v>225.04074</v>
      </c>
      <c r="D40" s="1025">
        <f t="shared" si="0"/>
        <v>0</v>
      </c>
      <c r="E40" s="1024">
        <v>1732</v>
      </c>
      <c r="F40" s="1024">
        <v>1509</v>
      </c>
      <c r="G40" s="1025">
        <f t="shared" si="1"/>
        <v>223</v>
      </c>
      <c r="H40" s="1025">
        <f t="shared" si="2"/>
        <v>223</v>
      </c>
    </row>
    <row r="41" spans="1:8" ht="18.5" x14ac:dyDescent="0.35">
      <c r="A41" s="801" t="s">
        <v>83</v>
      </c>
      <c r="B41" s="1024">
        <f>78181.32/1000</f>
        <v>78.181320000000014</v>
      </c>
      <c r="C41" s="1024">
        <v>0</v>
      </c>
      <c r="D41" s="1025">
        <f t="shared" si="0"/>
        <v>78.181320000000014</v>
      </c>
      <c r="E41" s="1024">
        <v>99</v>
      </c>
      <c r="F41" s="1024">
        <v>0</v>
      </c>
      <c r="G41" s="1025">
        <f t="shared" si="1"/>
        <v>99</v>
      </c>
      <c r="H41" s="1025">
        <f t="shared" si="2"/>
        <v>177.18132000000003</v>
      </c>
    </row>
    <row r="42" spans="1:8" ht="18.5" x14ac:dyDescent="0.35">
      <c r="A42" s="801" t="s">
        <v>81</v>
      </c>
      <c r="B42" s="1024">
        <f>53067.5/1000</f>
        <v>53.067500000000003</v>
      </c>
      <c r="C42" s="1024">
        <v>0</v>
      </c>
      <c r="D42" s="1025">
        <f t="shared" si="0"/>
        <v>53.067500000000003</v>
      </c>
      <c r="E42" s="1024">
        <v>314</v>
      </c>
      <c r="F42" s="1024">
        <v>205</v>
      </c>
      <c r="G42" s="1025">
        <f t="shared" si="1"/>
        <v>109</v>
      </c>
      <c r="H42" s="1025">
        <f t="shared" si="2"/>
        <v>162.0675</v>
      </c>
    </row>
    <row r="43" spans="1:8" ht="18.5" x14ac:dyDescent="0.35">
      <c r="A43" s="801" t="s">
        <v>50</v>
      </c>
      <c r="B43" s="1024">
        <f>421243.87/1000</f>
        <v>421.24387000000002</v>
      </c>
      <c r="C43" s="1024">
        <v>278</v>
      </c>
      <c r="D43" s="1025">
        <f t="shared" si="0"/>
        <v>143.24387000000002</v>
      </c>
      <c r="E43" s="1024">
        <v>1726</v>
      </c>
      <c r="F43" s="1024">
        <v>1581</v>
      </c>
      <c r="G43" s="1025">
        <f t="shared" si="1"/>
        <v>145</v>
      </c>
      <c r="H43" s="1025">
        <f t="shared" si="2"/>
        <v>288.24387000000002</v>
      </c>
    </row>
    <row r="44" spans="1:8" ht="18.5" x14ac:dyDescent="0.35">
      <c r="A44" s="801" t="s">
        <v>1259</v>
      </c>
      <c r="B44" s="1024">
        <f>93252.7899999998/1000</f>
        <v>93.252789999999806</v>
      </c>
      <c r="C44" s="1024">
        <f>93252.7899999998/1000</f>
        <v>93.252789999999806</v>
      </c>
      <c r="D44" s="1025">
        <f t="shared" si="0"/>
        <v>0</v>
      </c>
      <c r="E44" s="1024">
        <v>667</v>
      </c>
      <c r="F44" s="1024">
        <v>528</v>
      </c>
      <c r="G44" s="1025">
        <f t="shared" si="1"/>
        <v>139</v>
      </c>
      <c r="H44" s="1025">
        <f t="shared" si="2"/>
        <v>139</v>
      </c>
    </row>
    <row r="45" spans="1:8" ht="18.5" x14ac:dyDescent="0.35">
      <c r="A45" s="801" t="s">
        <v>1260</v>
      </c>
      <c r="B45" s="1024">
        <f>340819.67/1000</f>
        <v>340.81966999999997</v>
      </c>
      <c r="C45" s="1024">
        <f>340819.67/1000</f>
        <v>340.81966999999997</v>
      </c>
      <c r="D45" s="1025">
        <f t="shared" si="0"/>
        <v>0</v>
      </c>
      <c r="E45" s="1024">
        <v>837</v>
      </c>
      <c r="F45" s="1024">
        <v>722</v>
      </c>
      <c r="G45" s="1025">
        <f t="shared" si="1"/>
        <v>115</v>
      </c>
      <c r="H45" s="1025">
        <f t="shared" si="2"/>
        <v>115</v>
      </c>
    </row>
    <row r="46" spans="1:8" ht="18.5" x14ac:dyDescent="0.35">
      <c r="A46" s="801" t="s">
        <v>1243</v>
      </c>
      <c r="B46" s="1024">
        <f>131016.47/1000</f>
        <v>131.01647</v>
      </c>
      <c r="C46" s="1024">
        <f>131016.47/1000</f>
        <v>131.01647</v>
      </c>
      <c r="D46" s="1025">
        <f t="shared" si="0"/>
        <v>0</v>
      </c>
      <c r="E46" s="1024">
        <v>430</v>
      </c>
      <c r="F46" s="1024">
        <v>334</v>
      </c>
      <c r="G46" s="1025">
        <f t="shared" si="1"/>
        <v>96</v>
      </c>
      <c r="H46" s="1025">
        <f t="shared" si="2"/>
        <v>96</v>
      </c>
    </row>
    <row r="47" spans="1:8" ht="18.5" x14ac:dyDescent="0.35">
      <c r="A47" s="801" t="s">
        <v>1244</v>
      </c>
      <c r="B47" s="1024">
        <f>94994.15/1000</f>
        <v>94.994149999999991</v>
      </c>
      <c r="C47" s="1024">
        <f>94994.15/1000</f>
        <v>94.994149999999991</v>
      </c>
      <c r="D47" s="1025">
        <f t="shared" si="0"/>
        <v>0</v>
      </c>
      <c r="E47" s="1024">
        <v>0</v>
      </c>
      <c r="F47" s="1024">
        <v>0</v>
      </c>
      <c r="G47" s="1025">
        <f t="shared" si="1"/>
        <v>0</v>
      </c>
      <c r="H47" s="1025">
        <f t="shared" si="2"/>
        <v>0</v>
      </c>
    </row>
    <row r="48" spans="1:8" ht="18.5" x14ac:dyDescent="0.35">
      <c r="A48" s="801" t="s">
        <v>1255</v>
      </c>
      <c r="B48" s="1024">
        <f>73202.63/1000</f>
        <v>73.202629999999999</v>
      </c>
      <c r="C48" s="1024">
        <f>73202.63/1000</f>
        <v>73.202629999999999</v>
      </c>
      <c r="D48" s="1025">
        <f t="shared" si="0"/>
        <v>0</v>
      </c>
      <c r="E48" s="1024">
        <v>0</v>
      </c>
      <c r="F48" s="1024">
        <v>0</v>
      </c>
      <c r="G48" s="1025">
        <f t="shared" si="1"/>
        <v>0</v>
      </c>
      <c r="H48" s="1025">
        <f t="shared" si="2"/>
        <v>0</v>
      </c>
    </row>
    <row r="49" spans="1:8" ht="18.5" x14ac:dyDescent="0.35">
      <c r="A49" s="850" t="s">
        <v>1245</v>
      </c>
      <c r="B49" s="1024">
        <v>43</v>
      </c>
      <c r="C49" s="1024">
        <v>43</v>
      </c>
      <c r="D49" s="1025">
        <f t="shared" si="0"/>
        <v>0</v>
      </c>
      <c r="E49" s="1024">
        <v>218</v>
      </c>
      <c r="F49" s="1024">
        <v>218</v>
      </c>
      <c r="G49" s="1025">
        <f t="shared" si="1"/>
        <v>0</v>
      </c>
      <c r="H49" s="1025">
        <f t="shared" si="2"/>
        <v>0</v>
      </c>
    </row>
    <row r="50" spans="1:8" ht="18.5" x14ac:dyDescent="0.35">
      <c r="A50" s="850" t="s">
        <v>1246</v>
      </c>
      <c r="B50" s="1024">
        <f>64989.42/1000</f>
        <v>64.989419999999996</v>
      </c>
      <c r="C50" s="1024">
        <f>64989.42/1000</f>
        <v>64.989419999999996</v>
      </c>
      <c r="D50" s="1025">
        <f t="shared" si="0"/>
        <v>0</v>
      </c>
      <c r="E50" s="1024">
        <v>0</v>
      </c>
      <c r="F50" s="1024">
        <v>0</v>
      </c>
      <c r="G50" s="1025">
        <f t="shared" si="1"/>
        <v>0</v>
      </c>
      <c r="H50" s="1025">
        <f t="shared" si="2"/>
        <v>0</v>
      </c>
    </row>
    <row r="51" spans="1:8" ht="18.5" x14ac:dyDescent="0.35">
      <c r="A51" s="801" t="s">
        <v>1247</v>
      </c>
      <c r="B51" s="1024">
        <v>58</v>
      </c>
      <c r="C51" s="1024">
        <v>58</v>
      </c>
      <c r="D51" s="1025">
        <f t="shared" si="0"/>
        <v>0</v>
      </c>
      <c r="E51" s="1024">
        <v>290</v>
      </c>
      <c r="F51" s="1024">
        <v>0</v>
      </c>
      <c r="G51" s="1025">
        <f t="shared" si="1"/>
        <v>290</v>
      </c>
      <c r="H51" s="1025">
        <f t="shared" si="2"/>
        <v>290</v>
      </c>
    </row>
    <row r="52" spans="1:8" ht="18.5" x14ac:dyDescent="0.35">
      <c r="A52" s="801" t="s">
        <v>1248</v>
      </c>
      <c r="B52" s="1024">
        <v>76</v>
      </c>
      <c r="C52" s="1024">
        <v>27</v>
      </c>
      <c r="D52" s="1025">
        <f t="shared" si="0"/>
        <v>49</v>
      </c>
      <c r="E52" s="1024">
        <v>179</v>
      </c>
      <c r="F52" s="1024">
        <f>202-C52</f>
        <v>175</v>
      </c>
      <c r="G52" s="1025">
        <f t="shared" si="1"/>
        <v>4</v>
      </c>
      <c r="H52" s="1025">
        <f t="shared" si="2"/>
        <v>53</v>
      </c>
    </row>
    <row r="53" spans="1:8" ht="18.5" x14ac:dyDescent="0.35">
      <c r="A53" s="692" t="s">
        <v>1249</v>
      </c>
      <c r="B53" s="1024">
        <v>100</v>
      </c>
      <c r="C53" s="1024">
        <v>50</v>
      </c>
      <c r="D53" s="1025">
        <f t="shared" si="0"/>
        <v>50</v>
      </c>
      <c r="E53" s="1024">
        <v>81</v>
      </c>
      <c r="F53" s="1024">
        <v>81</v>
      </c>
      <c r="G53" s="1025">
        <f t="shared" si="1"/>
        <v>0</v>
      </c>
      <c r="H53" s="1025">
        <f t="shared" si="2"/>
        <v>50</v>
      </c>
    </row>
    <row r="54" spans="1:8" ht="18.5" x14ac:dyDescent="0.35">
      <c r="A54" s="801" t="s">
        <v>1250</v>
      </c>
      <c r="B54" s="1024">
        <v>98</v>
      </c>
      <c r="C54" s="1024">
        <v>65</v>
      </c>
      <c r="D54" s="1025">
        <f t="shared" si="0"/>
        <v>33</v>
      </c>
      <c r="E54" s="1024">
        <v>385</v>
      </c>
      <c r="F54" s="1024">
        <v>385</v>
      </c>
      <c r="G54" s="1025">
        <f t="shared" si="1"/>
        <v>0</v>
      </c>
      <c r="H54" s="1025">
        <f t="shared" si="2"/>
        <v>33</v>
      </c>
    </row>
    <row r="55" spans="1:8" ht="18.5" x14ac:dyDescent="0.35">
      <c r="A55" s="801" t="s">
        <v>1251</v>
      </c>
      <c r="B55" s="1024">
        <v>33</v>
      </c>
      <c r="C55" s="1024">
        <v>0</v>
      </c>
      <c r="D55" s="1025">
        <f t="shared" si="0"/>
        <v>33</v>
      </c>
      <c r="E55" s="1024">
        <v>0</v>
      </c>
      <c r="F55" s="1024">
        <v>0</v>
      </c>
      <c r="G55" s="1025">
        <f t="shared" si="1"/>
        <v>0</v>
      </c>
      <c r="H55" s="1025">
        <f t="shared" si="2"/>
        <v>33</v>
      </c>
    </row>
    <row r="56" spans="1:8" ht="18.5" x14ac:dyDescent="0.35">
      <c r="A56" s="801" t="s">
        <v>1252</v>
      </c>
      <c r="B56" s="1024">
        <v>25</v>
      </c>
      <c r="C56" s="1024">
        <v>0</v>
      </c>
      <c r="D56" s="1025">
        <f t="shared" si="0"/>
        <v>25</v>
      </c>
      <c r="E56" s="1024">
        <v>12</v>
      </c>
      <c r="F56" s="1024">
        <v>6</v>
      </c>
      <c r="G56" s="1025">
        <f t="shared" si="1"/>
        <v>6</v>
      </c>
      <c r="H56" s="1025">
        <f t="shared" si="2"/>
        <v>31</v>
      </c>
    </row>
    <row r="57" spans="1:8" ht="18.5" x14ac:dyDescent="0.35">
      <c r="A57" s="801" t="s">
        <v>465</v>
      </c>
      <c r="B57" s="1024">
        <v>30</v>
      </c>
      <c r="C57" s="1024">
        <v>0</v>
      </c>
      <c r="D57" s="1025">
        <f t="shared" si="0"/>
        <v>30</v>
      </c>
      <c r="E57" s="1024">
        <v>0</v>
      </c>
      <c r="F57" s="1024">
        <v>0</v>
      </c>
      <c r="G57" s="1025">
        <f t="shared" si="1"/>
        <v>0</v>
      </c>
      <c r="H57" s="1025">
        <f t="shared" si="2"/>
        <v>30</v>
      </c>
    </row>
    <row r="58" spans="1:8" ht="18.5" x14ac:dyDescent="0.35">
      <c r="A58" s="801" t="s">
        <v>1253</v>
      </c>
      <c r="B58" s="1024">
        <v>18</v>
      </c>
      <c r="C58" s="1024">
        <v>0</v>
      </c>
      <c r="D58" s="1025">
        <f t="shared" si="0"/>
        <v>18</v>
      </c>
      <c r="E58" s="1024">
        <v>0</v>
      </c>
      <c r="F58" s="1024">
        <v>0</v>
      </c>
      <c r="G58" s="1025">
        <f t="shared" si="1"/>
        <v>0</v>
      </c>
      <c r="H58" s="1025">
        <f t="shared" si="2"/>
        <v>18</v>
      </c>
    </row>
    <row r="59" spans="1:8" ht="18.5" x14ac:dyDescent="0.35">
      <c r="A59" s="850" t="s">
        <v>1254</v>
      </c>
      <c r="B59" s="1024">
        <v>18</v>
      </c>
      <c r="C59" s="1024">
        <v>0</v>
      </c>
      <c r="D59" s="1025">
        <f t="shared" si="0"/>
        <v>18</v>
      </c>
      <c r="E59" s="1024">
        <v>0</v>
      </c>
      <c r="F59" s="1024">
        <v>0</v>
      </c>
      <c r="G59" s="1025">
        <f t="shared" si="1"/>
        <v>0</v>
      </c>
      <c r="H59" s="1025">
        <f t="shared" si="2"/>
        <v>18</v>
      </c>
    </row>
    <row r="60" spans="1:8" ht="18.5" x14ac:dyDescent="0.35">
      <c r="A60" s="801" t="s">
        <v>44</v>
      </c>
      <c r="B60" s="1024">
        <v>16</v>
      </c>
      <c r="C60" s="1024">
        <v>0</v>
      </c>
      <c r="D60" s="1025">
        <f t="shared" si="0"/>
        <v>16</v>
      </c>
      <c r="E60" s="1024">
        <v>0</v>
      </c>
      <c r="F60" s="1024">
        <v>0</v>
      </c>
      <c r="G60" s="1025">
        <f t="shared" si="1"/>
        <v>0</v>
      </c>
      <c r="H60" s="1025">
        <f t="shared" si="2"/>
        <v>16</v>
      </c>
    </row>
    <row r="61" spans="1:8" ht="18.5" x14ac:dyDescent="0.35">
      <c r="A61" s="801" t="s">
        <v>88</v>
      </c>
      <c r="B61" s="1024">
        <v>15</v>
      </c>
      <c r="C61" s="1024">
        <v>0</v>
      </c>
      <c r="D61" s="1025">
        <f t="shared" si="0"/>
        <v>15</v>
      </c>
      <c r="E61" s="1024">
        <v>0</v>
      </c>
      <c r="F61" s="1024">
        <v>0</v>
      </c>
      <c r="G61" s="1025">
        <f t="shared" si="1"/>
        <v>0</v>
      </c>
      <c r="H61" s="1025">
        <f t="shared" si="2"/>
        <v>15</v>
      </c>
    </row>
    <row r="62" spans="1:8" ht="18.5" x14ac:dyDescent="0.35">
      <c r="A62" s="801" t="s">
        <v>28</v>
      </c>
      <c r="B62" s="1024">
        <v>676</v>
      </c>
      <c r="C62" s="1024">
        <v>676</v>
      </c>
      <c r="D62" s="1025">
        <f t="shared" si="0"/>
        <v>0</v>
      </c>
      <c r="E62" s="1024">
        <v>90</v>
      </c>
      <c r="F62" s="1024">
        <v>76</v>
      </c>
      <c r="G62" s="1025">
        <f t="shared" si="1"/>
        <v>14</v>
      </c>
      <c r="H62" s="1025">
        <f t="shared" si="2"/>
        <v>14</v>
      </c>
    </row>
    <row r="63" spans="1:8" ht="18.5" x14ac:dyDescent="0.35">
      <c r="A63" s="801" t="s">
        <v>59</v>
      </c>
      <c r="B63" s="1024">
        <v>11</v>
      </c>
      <c r="C63" s="1024">
        <v>11</v>
      </c>
      <c r="D63" s="1025">
        <f t="shared" si="0"/>
        <v>0</v>
      </c>
      <c r="E63" s="1024">
        <v>64</v>
      </c>
      <c r="F63" s="1024">
        <v>53</v>
      </c>
      <c r="G63" s="1025">
        <f t="shared" si="1"/>
        <v>11</v>
      </c>
      <c r="H63" s="1025">
        <f t="shared" si="2"/>
        <v>11</v>
      </c>
    </row>
    <row r="64" spans="1:8" ht="18.5" x14ac:dyDescent="0.35">
      <c r="A64" s="801" t="s">
        <v>502</v>
      </c>
      <c r="B64" s="1024">
        <v>9</v>
      </c>
      <c r="C64" s="1024">
        <v>0</v>
      </c>
      <c r="D64" s="1025">
        <f t="shared" si="0"/>
        <v>9</v>
      </c>
      <c r="E64" s="1024">
        <v>0</v>
      </c>
      <c r="F64" s="1024">
        <v>0</v>
      </c>
      <c r="G64" s="1025">
        <f t="shared" si="1"/>
        <v>0</v>
      </c>
      <c r="H64" s="1025">
        <f t="shared" si="2"/>
        <v>9</v>
      </c>
    </row>
    <row r="65" spans="1:8" ht="18.5" x14ac:dyDescent="0.35">
      <c r="A65" s="850" t="s">
        <v>512</v>
      </c>
      <c r="B65" s="1024">
        <v>24</v>
      </c>
      <c r="C65" s="1024">
        <v>24</v>
      </c>
      <c r="D65" s="1025">
        <f t="shared" si="0"/>
        <v>0</v>
      </c>
      <c r="E65" s="1024">
        <v>0</v>
      </c>
      <c r="F65" s="1024">
        <v>0</v>
      </c>
      <c r="G65" s="1025">
        <f t="shared" si="1"/>
        <v>0</v>
      </c>
      <c r="H65" s="1025">
        <f t="shared" si="2"/>
        <v>0</v>
      </c>
    </row>
    <row r="66" spans="1:8" ht="18.5" x14ac:dyDescent="0.35">
      <c r="A66" s="801" t="s">
        <v>505</v>
      </c>
      <c r="B66" s="1024">
        <v>8</v>
      </c>
      <c r="C66" s="1024">
        <v>8</v>
      </c>
      <c r="D66" s="1025">
        <f t="shared" si="0"/>
        <v>0</v>
      </c>
      <c r="E66" s="1024">
        <v>0</v>
      </c>
      <c r="F66" s="1024">
        <v>0</v>
      </c>
      <c r="G66" s="1025">
        <f t="shared" si="1"/>
        <v>0</v>
      </c>
      <c r="H66" s="1025">
        <f t="shared" si="2"/>
        <v>0</v>
      </c>
    </row>
    <row r="67" spans="1:8" ht="18.5" x14ac:dyDescent="0.35">
      <c r="A67" s="801" t="s">
        <v>369</v>
      </c>
      <c r="B67" s="1024">
        <f>834.78/1000</f>
        <v>0.83477999999999997</v>
      </c>
      <c r="C67" s="1024">
        <v>1</v>
      </c>
      <c r="D67" s="1025">
        <f t="shared" si="0"/>
        <v>-0.16522000000000003</v>
      </c>
      <c r="E67" s="1024">
        <v>0</v>
      </c>
      <c r="F67" s="1024">
        <v>0</v>
      </c>
      <c r="G67" s="1025">
        <f t="shared" si="1"/>
        <v>0</v>
      </c>
      <c r="H67" s="1025">
        <f t="shared" si="2"/>
        <v>-0.16522000000000003</v>
      </c>
    </row>
    <row r="68" spans="1:8" ht="18.5" x14ac:dyDescent="0.35">
      <c r="A68" s="801" t="s">
        <v>508</v>
      </c>
      <c r="B68" s="1024">
        <v>1</v>
      </c>
      <c r="C68" s="1024">
        <v>1</v>
      </c>
      <c r="D68" s="1025">
        <f t="shared" si="0"/>
        <v>0</v>
      </c>
      <c r="E68" s="1024">
        <v>0</v>
      </c>
      <c r="F68" s="1024">
        <v>0</v>
      </c>
      <c r="G68" s="1025">
        <f t="shared" si="1"/>
        <v>0</v>
      </c>
      <c r="H68" s="1025">
        <f t="shared" si="2"/>
        <v>0</v>
      </c>
    </row>
    <row r="69" spans="1:8" ht="18.5" x14ac:dyDescent="0.35">
      <c r="A69" s="801" t="s">
        <v>340</v>
      </c>
      <c r="B69" s="1024">
        <v>1059</v>
      </c>
      <c r="C69" s="1024">
        <v>1059</v>
      </c>
      <c r="D69" s="1025">
        <f t="shared" si="0"/>
        <v>0</v>
      </c>
      <c r="E69" s="1024">
        <v>6499</v>
      </c>
      <c r="F69" s="1024">
        <v>6499</v>
      </c>
      <c r="G69" s="1025">
        <f t="shared" si="1"/>
        <v>0</v>
      </c>
      <c r="H69" s="1025">
        <f t="shared" si="2"/>
        <v>0</v>
      </c>
    </row>
    <row r="70" spans="1:8" ht="18.5" x14ac:dyDescent="0.35">
      <c r="A70" s="801" t="s">
        <v>51</v>
      </c>
      <c r="B70" s="1024">
        <v>4.6566128730773926E-10</v>
      </c>
      <c r="C70" s="1024">
        <v>0</v>
      </c>
      <c r="D70" s="1025">
        <f t="shared" si="0"/>
        <v>4.6566128730773926E-10</v>
      </c>
      <c r="E70" s="1024">
        <v>0</v>
      </c>
      <c r="F70" s="1024">
        <v>0</v>
      </c>
      <c r="G70" s="1025">
        <f t="shared" si="1"/>
        <v>0</v>
      </c>
      <c r="H70" s="1025">
        <f t="shared" si="2"/>
        <v>4.6566128730773926E-10</v>
      </c>
    </row>
    <row r="71" spans="1:8" ht="18.5" x14ac:dyDescent="0.35">
      <c r="A71" s="801" t="s">
        <v>486</v>
      </c>
      <c r="B71" s="1024">
        <v>1.0913936421275139E-11</v>
      </c>
      <c r="C71" s="1024">
        <v>0</v>
      </c>
      <c r="D71" s="1025">
        <f t="shared" si="0"/>
        <v>1.0913936421275139E-11</v>
      </c>
      <c r="E71" s="1024">
        <v>0</v>
      </c>
      <c r="F71" s="1024">
        <v>0</v>
      </c>
      <c r="G71" s="1025">
        <f t="shared" si="1"/>
        <v>0</v>
      </c>
      <c r="H71" s="1025">
        <f t="shared" si="2"/>
        <v>1.0913936421275139E-11</v>
      </c>
    </row>
    <row r="72" spans="1:8" ht="18.5" x14ac:dyDescent="0.35">
      <c r="A72" s="801" t="s">
        <v>461</v>
      </c>
      <c r="B72" s="1024">
        <v>0</v>
      </c>
      <c r="C72" s="1024">
        <v>0</v>
      </c>
      <c r="D72" s="1025">
        <f t="shared" ref="D72:D87" si="3">B72-C72</f>
        <v>0</v>
      </c>
      <c r="E72" s="1024">
        <v>0</v>
      </c>
      <c r="F72" s="1024">
        <v>0</v>
      </c>
      <c r="G72" s="1025">
        <f t="shared" ref="G72:G87" si="4">E72-F72</f>
        <v>0</v>
      </c>
      <c r="H72" s="1025">
        <f t="shared" ref="H72:H87" si="5">B72-C72+E72-F72</f>
        <v>0</v>
      </c>
    </row>
    <row r="73" spans="1:8" ht="18.5" x14ac:dyDescent="0.35">
      <c r="A73" s="801" t="s">
        <v>367</v>
      </c>
      <c r="B73" s="1024">
        <v>193</v>
      </c>
      <c r="C73" s="1024">
        <v>193</v>
      </c>
      <c r="D73" s="1025">
        <f t="shared" si="3"/>
        <v>0</v>
      </c>
      <c r="E73" s="1024">
        <v>1231</v>
      </c>
      <c r="F73" s="1024">
        <v>1231</v>
      </c>
      <c r="G73" s="1025">
        <f t="shared" si="4"/>
        <v>0</v>
      </c>
      <c r="H73" s="1025">
        <f t="shared" si="5"/>
        <v>0</v>
      </c>
    </row>
    <row r="74" spans="1:8" ht="18.5" x14ac:dyDescent="0.35">
      <c r="A74" s="801" t="s">
        <v>368</v>
      </c>
      <c r="B74" s="1024">
        <v>2962</v>
      </c>
      <c r="C74" s="1024">
        <v>2962</v>
      </c>
      <c r="D74" s="1025">
        <f t="shared" si="3"/>
        <v>0</v>
      </c>
      <c r="E74" s="1024">
        <v>60100</v>
      </c>
      <c r="F74" s="1024">
        <v>60100</v>
      </c>
      <c r="G74" s="1025">
        <f t="shared" si="4"/>
        <v>0</v>
      </c>
      <c r="H74" s="1025">
        <f t="shared" si="5"/>
        <v>0</v>
      </c>
    </row>
    <row r="75" spans="1:8" ht="18.5" x14ac:dyDescent="0.35">
      <c r="A75" s="801" t="s">
        <v>463</v>
      </c>
      <c r="B75" s="1024">
        <v>0</v>
      </c>
      <c r="C75" s="1024">
        <v>0</v>
      </c>
      <c r="D75" s="1025">
        <f t="shared" si="3"/>
        <v>0</v>
      </c>
      <c r="E75" s="1024">
        <v>0</v>
      </c>
      <c r="F75" s="1024">
        <v>0</v>
      </c>
      <c r="G75" s="1025">
        <f t="shared" si="4"/>
        <v>0</v>
      </c>
      <c r="H75" s="1025">
        <f t="shared" si="5"/>
        <v>0</v>
      </c>
    </row>
    <row r="76" spans="1:8" ht="18.5" x14ac:dyDescent="0.35">
      <c r="A76" s="801" t="s">
        <v>480</v>
      </c>
      <c r="B76" s="1024">
        <v>18</v>
      </c>
      <c r="C76" s="1024">
        <v>18</v>
      </c>
      <c r="D76" s="1025">
        <f t="shared" si="3"/>
        <v>0</v>
      </c>
      <c r="E76" s="1024">
        <v>0</v>
      </c>
      <c r="F76" s="1024">
        <v>0</v>
      </c>
      <c r="G76" s="1025">
        <f t="shared" si="4"/>
        <v>0</v>
      </c>
      <c r="H76" s="1025">
        <f t="shared" si="5"/>
        <v>0</v>
      </c>
    </row>
    <row r="77" spans="1:8" ht="18.5" x14ac:dyDescent="0.35">
      <c r="A77" s="801" t="s">
        <v>485</v>
      </c>
      <c r="B77" s="1024">
        <v>44</v>
      </c>
      <c r="C77" s="1024">
        <v>44</v>
      </c>
      <c r="D77" s="1025">
        <f t="shared" si="3"/>
        <v>0</v>
      </c>
      <c r="E77" s="1024">
        <v>246</v>
      </c>
      <c r="F77" s="1024">
        <v>246</v>
      </c>
      <c r="G77" s="1025">
        <f t="shared" si="4"/>
        <v>0</v>
      </c>
      <c r="H77" s="1025">
        <f t="shared" si="5"/>
        <v>0</v>
      </c>
    </row>
    <row r="78" spans="1:8" ht="18.5" x14ac:dyDescent="0.35">
      <c r="A78" s="801" t="s">
        <v>60</v>
      </c>
      <c r="B78" s="1024">
        <v>1128</v>
      </c>
      <c r="C78" s="1024">
        <v>1128</v>
      </c>
      <c r="D78" s="1025">
        <f t="shared" si="3"/>
        <v>0</v>
      </c>
      <c r="E78" s="1024">
        <v>6917</v>
      </c>
      <c r="F78" s="1024">
        <v>6917</v>
      </c>
      <c r="G78" s="1025">
        <f t="shared" si="4"/>
        <v>0</v>
      </c>
      <c r="H78" s="1025">
        <f t="shared" si="5"/>
        <v>0</v>
      </c>
    </row>
    <row r="79" spans="1:8" ht="18.5" x14ac:dyDescent="0.35">
      <c r="A79" s="850" t="s">
        <v>25</v>
      </c>
      <c r="B79" s="1024">
        <v>38131</v>
      </c>
      <c r="C79" s="1024">
        <v>38131</v>
      </c>
      <c r="D79" s="1025">
        <f t="shared" si="3"/>
        <v>0</v>
      </c>
      <c r="E79" s="1024">
        <v>57418</v>
      </c>
      <c r="F79" s="1024">
        <v>57418</v>
      </c>
      <c r="G79" s="1025">
        <f t="shared" si="4"/>
        <v>0</v>
      </c>
      <c r="H79" s="1025">
        <f t="shared" si="5"/>
        <v>0</v>
      </c>
    </row>
    <row r="80" spans="1:8" ht="18.5" x14ac:dyDescent="0.35">
      <c r="A80" s="801" t="s">
        <v>26</v>
      </c>
      <c r="B80" s="1024">
        <v>7526</v>
      </c>
      <c r="C80" s="1024">
        <v>7526</v>
      </c>
      <c r="D80" s="1025">
        <f t="shared" si="3"/>
        <v>0</v>
      </c>
      <c r="E80" s="1024">
        <v>50679</v>
      </c>
      <c r="F80" s="1024">
        <v>50679</v>
      </c>
      <c r="G80" s="1025">
        <f t="shared" si="4"/>
        <v>0</v>
      </c>
      <c r="H80" s="1025">
        <f t="shared" si="5"/>
        <v>0</v>
      </c>
    </row>
    <row r="81" spans="1:8" ht="18.5" x14ac:dyDescent="0.35">
      <c r="A81" s="801" t="s">
        <v>370</v>
      </c>
      <c r="B81" s="1024">
        <v>0</v>
      </c>
      <c r="C81" s="1024">
        <v>0</v>
      </c>
      <c r="D81" s="1025">
        <f t="shared" si="3"/>
        <v>0</v>
      </c>
      <c r="E81" s="1024">
        <v>0</v>
      </c>
      <c r="F81" s="1024">
        <v>0</v>
      </c>
      <c r="G81" s="1025">
        <f t="shared" si="4"/>
        <v>0</v>
      </c>
      <c r="H81" s="1025">
        <f t="shared" si="5"/>
        <v>0</v>
      </c>
    </row>
    <row r="82" spans="1:8" ht="18.5" x14ac:dyDescent="0.35">
      <c r="A82" s="801" t="s">
        <v>343</v>
      </c>
      <c r="B82" s="1024">
        <v>0</v>
      </c>
      <c r="C82" s="1024">
        <v>0</v>
      </c>
      <c r="D82" s="1025">
        <f t="shared" si="3"/>
        <v>0</v>
      </c>
      <c r="E82" s="1024">
        <v>0</v>
      </c>
      <c r="F82" s="1024">
        <v>0</v>
      </c>
      <c r="G82" s="1025">
        <f t="shared" si="4"/>
        <v>0</v>
      </c>
      <c r="H82" s="1025">
        <f t="shared" si="5"/>
        <v>0</v>
      </c>
    </row>
    <row r="83" spans="1:8" ht="18.5" x14ac:dyDescent="0.35">
      <c r="A83" s="801" t="s">
        <v>481</v>
      </c>
      <c r="B83" s="1024">
        <v>0</v>
      </c>
      <c r="C83" s="1024">
        <v>0</v>
      </c>
      <c r="D83" s="1025">
        <f t="shared" si="3"/>
        <v>0</v>
      </c>
      <c r="E83" s="1024">
        <v>12</v>
      </c>
      <c r="F83" s="1024">
        <v>12</v>
      </c>
      <c r="G83" s="1025">
        <f t="shared" si="4"/>
        <v>0</v>
      </c>
      <c r="H83" s="1025">
        <f t="shared" si="5"/>
        <v>0</v>
      </c>
    </row>
    <row r="84" spans="1:8" ht="18.5" x14ac:dyDescent="0.35">
      <c r="A84" s="801" t="s">
        <v>309</v>
      </c>
      <c r="B84" s="1024">
        <v>83</v>
      </c>
      <c r="C84" s="1024">
        <v>83</v>
      </c>
      <c r="D84" s="1025">
        <f t="shared" si="3"/>
        <v>0</v>
      </c>
      <c r="E84" s="1024">
        <v>67</v>
      </c>
      <c r="F84" s="1024">
        <v>67</v>
      </c>
      <c r="G84" s="1025">
        <f t="shared" si="4"/>
        <v>0</v>
      </c>
      <c r="H84" s="1025">
        <f t="shared" si="5"/>
        <v>0</v>
      </c>
    </row>
    <row r="85" spans="1:8" ht="18.5" x14ac:dyDescent="0.35">
      <c r="A85" s="850" t="s">
        <v>31</v>
      </c>
      <c r="B85" s="1024">
        <v>6108</v>
      </c>
      <c r="C85" s="1024">
        <v>6108</v>
      </c>
      <c r="D85" s="1025">
        <f t="shared" si="3"/>
        <v>0</v>
      </c>
      <c r="E85" s="1024">
        <v>38801</v>
      </c>
      <c r="F85" s="1024">
        <v>38801</v>
      </c>
      <c r="G85" s="1025">
        <f t="shared" si="4"/>
        <v>0</v>
      </c>
      <c r="H85" s="1025">
        <f t="shared" si="5"/>
        <v>0</v>
      </c>
    </row>
    <row r="86" spans="1:8" ht="18.5" x14ac:dyDescent="0.35">
      <c r="A86" s="692" t="s">
        <v>75</v>
      </c>
      <c r="B86" s="1024">
        <v>1553</v>
      </c>
      <c r="C86" s="1024">
        <v>0</v>
      </c>
      <c r="D86" s="1025">
        <f t="shared" si="3"/>
        <v>1553</v>
      </c>
      <c r="E86" s="1024">
        <v>3048</v>
      </c>
      <c r="F86" s="1024">
        <v>3048</v>
      </c>
      <c r="G86" s="1025">
        <f t="shared" si="4"/>
        <v>0</v>
      </c>
      <c r="H86" s="1025">
        <f t="shared" si="5"/>
        <v>1553</v>
      </c>
    </row>
    <row r="87" spans="1:8" ht="18.5" x14ac:dyDescent="0.35">
      <c r="A87" s="801" t="s">
        <v>364</v>
      </c>
      <c r="B87" s="1024">
        <v>5972</v>
      </c>
      <c r="C87" s="1024">
        <v>5972</v>
      </c>
      <c r="D87" s="1025">
        <f t="shared" si="3"/>
        <v>0</v>
      </c>
      <c r="E87" s="1024">
        <v>16439</v>
      </c>
      <c r="F87" s="1024">
        <v>16439</v>
      </c>
      <c r="G87" s="1025">
        <f t="shared" si="4"/>
        <v>0</v>
      </c>
      <c r="H87" s="1025">
        <f t="shared" si="5"/>
        <v>0</v>
      </c>
    </row>
    <row r="88" spans="1:8" ht="18.5" x14ac:dyDescent="0.35">
      <c r="A88" s="1028"/>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D3EC-B5D7-4AED-A5F2-EE7971EA4DC5}">
  <dimension ref="A1:D331"/>
  <sheetViews>
    <sheetView topLeftCell="A139" workbookViewId="0">
      <selection activeCell="E155" sqref="E155"/>
    </sheetView>
  </sheetViews>
  <sheetFormatPr defaultRowHeight="14.5" x14ac:dyDescent="0.35"/>
  <cols>
    <col min="1" max="1" width="56.81640625" style="894" bestFit="1" customWidth="1"/>
    <col min="2" max="2" width="16.81640625" style="894" customWidth="1"/>
    <col min="3" max="3" width="17.453125" style="894" customWidth="1"/>
    <col min="4" max="4" width="13.6328125" style="916" bestFit="1" customWidth="1"/>
  </cols>
  <sheetData>
    <row r="1" spans="1:4" x14ac:dyDescent="0.35">
      <c r="A1" s="894" t="s">
        <v>1</v>
      </c>
      <c r="B1" s="894" t="s">
        <v>704</v>
      </c>
      <c r="C1" s="894" t="s">
        <v>705</v>
      </c>
      <c r="D1" s="916" t="s">
        <v>588</v>
      </c>
    </row>
    <row r="2" spans="1:4" x14ac:dyDescent="0.35">
      <c r="A2" s="642" t="s">
        <v>706</v>
      </c>
      <c r="B2" s="854">
        <v>44742</v>
      </c>
      <c r="C2" s="642" t="s">
        <v>707</v>
      </c>
      <c r="D2" s="1013">
        <v>8553</v>
      </c>
    </row>
    <row r="3" spans="1:4" s="894" customFormat="1" x14ac:dyDescent="0.35">
      <c r="A3" s="642"/>
      <c r="B3" s="854"/>
      <c r="C3" s="642"/>
      <c r="D3" s="1013">
        <f>SUM(D2)</f>
        <v>8553</v>
      </c>
    </row>
    <row r="4" spans="1:4" s="894" customFormat="1" x14ac:dyDescent="0.35">
      <c r="B4" s="853"/>
      <c r="D4" s="916"/>
    </row>
    <row r="5" spans="1:4" x14ac:dyDescent="0.35">
      <c r="A5" s="642" t="s">
        <v>708</v>
      </c>
      <c r="B5" s="854">
        <v>44742</v>
      </c>
      <c r="C5" s="642" t="s">
        <v>719</v>
      </c>
      <c r="D5" s="1013">
        <v>4845.75</v>
      </c>
    </row>
    <row r="6" spans="1:4" s="894" customFormat="1" x14ac:dyDescent="0.35">
      <c r="A6" s="642"/>
      <c r="B6" s="854"/>
      <c r="C6" s="642"/>
      <c r="D6" s="1013">
        <f>SUM(D5)</f>
        <v>4845.75</v>
      </c>
    </row>
    <row r="7" spans="1:4" s="894" customFormat="1" x14ac:dyDescent="0.35">
      <c r="B7" s="853"/>
      <c r="D7" s="916"/>
    </row>
    <row r="8" spans="1:4" x14ac:dyDescent="0.35">
      <c r="A8" s="642" t="s">
        <v>711</v>
      </c>
      <c r="B8" s="854">
        <v>44742</v>
      </c>
      <c r="C8" s="642" t="s">
        <v>712</v>
      </c>
      <c r="D8" s="1013">
        <v>4222.8999999999996</v>
      </c>
    </row>
    <row r="9" spans="1:4" x14ac:dyDescent="0.35">
      <c r="A9" s="642" t="s">
        <v>711</v>
      </c>
      <c r="B9" s="854">
        <v>44742</v>
      </c>
      <c r="C9" s="642" t="s">
        <v>707</v>
      </c>
      <c r="D9" s="1013">
        <v>6938507</v>
      </c>
    </row>
    <row r="10" spans="1:4" x14ac:dyDescent="0.35">
      <c r="A10" s="642" t="s">
        <v>711</v>
      </c>
      <c r="B10" s="854">
        <v>44742</v>
      </c>
      <c r="C10" s="642" t="s">
        <v>714</v>
      </c>
      <c r="D10" s="1013">
        <v>2483544.1</v>
      </c>
    </row>
    <row r="11" spans="1:4" x14ac:dyDescent="0.35">
      <c r="A11" s="642" t="s">
        <v>711</v>
      </c>
      <c r="B11" s="854">
        <v>44742</v>
      </c>
      <c r="C11" s="642" t="s">
        <v>713</v>
      </c>
      <c r="D11" s="1013">
        <v>67914.5</v>
      </c>
    </row>
    <row r="12" spans="1:4" x14ac:dyDescent="0.35">
      <c r="A12" s="642" t="s">
        <v>711</v>
      </c>
      <c r="B12" s="854">
        <v>44742</v>
      </c>
      <c r="C12" s="642" t="s">
        <v>709</v>
      </c>
      <c r="D12" s="1013">
        <v>45542.13</v>
      </c>
    </row>
    <row r="13" spans="1:4" s="894" customFormat="1" x14ac:dyDescent="0.35">
      <c r="A13" s="642"/>
      <c r="B13" s="854"/>
      <c r="C13" s="642"/>
      <c r="D13" s="1013">
        <f>SUM(D8:D12)</f>
        <v>9539730.6300000008</v>
      </c>
    </row>
    <row r="14" spans="1:4" s="894" customFormat="1" x14ac:dyDescent="0.35">
      <c r="B14" s="853"/>
      <c r="D14" s="916"/>
    </row>
    <row r="15" spans="1:4" x14ac:dyDescent="0.35">
      <c r="A15" s="642" t="s">
        <v>715</v>
      </c>
      <c r="B15" s="854">
        <v>44742</v>
      </c>
      <c r="C15" s="642" t="s">
        <v>714</v>
      </c>
      <c r="D15" s="1013">
        <v>195926.5</v>
      </c>
    </row>
    <row r="16" spans="1:4" x14ac:dyDescent="0.35">
      <c r="A16" s="642" t="s">
        <v>715</v>
      </c>
      <c r="B16" s="854">
        <v>44742</v>
      </c>
      <c r="C16" s="642" t="s">
        <v>707</v>
      </c>
      <c r="D16" s="1013">
        <v>545565</v>
      </c>
    </row>
    <row r="17" spans="1:4" x14ac:dyDescent="0.35">
      <c r="A17" s="642" t="s">
        <v>715</v>
      </c>
      <c r="B17" s="854">
        <v>44742</v>
      </c>
      <c r="C17" s="642" t="s">
        <v>713</v>
      </c>
      <c r="D17" s="1013">
        <v>2711.5</v>
      </c>
    </row>
    <row r="18" spans="1:4" x14ac:dyDescent="0.35">
      <c r="A18" s="642" t="s">
        <v>715</v>
      </c>
      <c r="B18" s="854">
        <v>44742</v>
      </c>
      <c r="C18" s="642" t="s">
        <v>709</v>
      </c>
      <c r="D18" s="1013">
        <v>238752.69</v>
      </c>
    </row>
    <row r="19" spans="1:4" s="894" customFormat="1" x14ac:dyDescent="0.35">
      <c r="A19" s="642"/>
      <c r="B19" s="854"/>
      <c r="C19" s="642"/>
      <c r="D19" s="1013">
        <f>SUM(D15:D18)</f>
        <v>982955.69</v>
      </c>
    </row>
    <row r="20" spans="1:4" s="894" customFormat="1" x14ac:dyDescent="0.35">
      <c r="B20" s="853"/>
      <c r="D20" s="916"/>
    </row>
    <row r="21" spans="1:4" x14ac:dyDescent="0.35">
      <c r="A21" s="642" t="s">
        <v>716</v>
      </c>
      <c r="B21" s="854">
        <v>44742</v>
      </c>
      <c r="C21" s="642" t="s">
        <v>709</v>
      </c>
      <c r="D21" s="1013">
        <v>48879.26</v>
      </c>
    </row>
    <row r="22" spans="1:4" x14ac:dyDescent="0.35">
      <c r="A22" s="642" t="s">
        <v>716</v>
      </c>
      <c r="B22" s="854">
        <v>44742</v>
      </c>
      <c r="C22" s="642" t="s">
        <v>713</v>
      </c>
      <c r="D22" s="1013">
        <v>3056.5</v>
      </c>
    </row>
    <row r="23" spans="1:4" x14ac:dyDescent="0.35">
      <c r="A23" s="642" t="s">
        <v>716</v>
      </c>
      <c r="B23" s="854">
        <v>44742</v>
      </c>
      <c r="C23" s="642" t="s">
        <v>712</v>
      </c>
      <c r="D23" s="1013">
        <v>80</v>
      </c>
    </row>
    <row r="24" spans="1:4" x14ac:dyDescent="0.35">
      <c r="A24" s="642" t="s">
        <v>716</v>
      </c>
      <c r="B24" s="854">
        <v>44742</v>
      </c>
      <c r="C24" s="642" t="s">
        <v>714</v>
      </c>
      <c r="D24" s="1013">
        <v>228581.1</v>
      </c>
    </row>
    <row r="25" spans="1:4" x14ac:dyDescent="0.35">
      <c r="A25" s="642" t="s">
        <v>716</v>
      </c>
      <c r="B25" s="854">
        <v>44742</v>
      </c>
      <c r="C25" s="642" t="s">
        <v>707</v>
      </c>
      <c r="D25" s="1013">
        <v>547364</v>
      </c>
    </row>
    <row r="26" spans="1:4" s="894" customFormat="1" x14ac:dyDescent="0.35">
      <c r="A26" s="642"/>
      <c r="B26" s="854"/>
      <c r="C26" s="642"/>
      <c r="D26" s="1013">
        <f>SUM(D21:D25)</f>
        <v>827960.86</v>
      </c>
    </row>
    <row r="27" spans="1:4" s="894" customFormat="1" x14ac:dyDescent="0.35">
      <c r="B27" s="853"/>
      <c r="D27" s="916"/>
    </row>
    <row r="28" spans="1:4" x14ac:dyDescent="0.35">
      <c r="A28" s="642" t="s">
        <v>717</v>
      </c>
      <c r="B28" s="854">
        <v>44742</v>
      </c>
      <c r="C28" s="642" t="s">
        <v>714</v>
      </c>
      <c r="D28" s="1013">
        <v>1861968.2</v>
      </c>
    </row>
    <row r="29" spans="1:4" x14ac:dyDescent="0.35">
      <c r="A29" s="642" t="s">
        <v>717</v>
      </c>
      <c r="B29" s="854">
        <v>44742</v>
      </c>
      <c r="C29" s="642" t="s">
        <v>707</v>
      </c>
      <c r="D29" s="1013">
        <v>6054943</v>
      </c>
    </row>
    <row r="30" spans="1:4" x14ac:dyDescent="0.35">
      <c r="A30" s="642" t="s">
        <v>717</v>
      </c>
      <c r="B30" s="854">
        <v>44742</v>
      </c>
      <c r="C30" s="642" t="s">
        <v>710</v>
      </c>
      <c r="D30" s="1013">
        <v>85159.4</v>
      </c>
    </row>
    <row r="31" spans="1:4" x14ac:dyDescent="0.35">
      <c r="A31" s="642" t="s">
        <v>717</v>
      </c>
      <c r="B31" s="854">
        <v>44742</v>
      </c>
      <c r="C31" s="642" t="s">
        <v>712</v>
      </c>
      <c r="D31" s="1013">
        <v>24775</v>
      </c>
    </row>
    <row r="32" spans="1:4" x14ac:dyDescent="0.35">
      <c r="A32" s="642" t="s">
        <v>717</v>
      </c>
      <c r="B32" s="854">
        <v>44742</v>
      </c>
      <c r="C32" s="642" t="s">
        <v>724</v>
      </c>
      <c r="D32" s="1013">
        <v>0</v>
      </c>
    </row>
    <row r="33" spans="1:4" x14ac:dyDescent="0.35">
      <c r="A33" s="642" t="s">
        <v>717</v>
      </c>
      <c r="B33" s="854">
        <v>44742</v>
      </c>
      <c r="C33" s="642" t="s">
        <v>709</v>
      </c>
      <c r="D33" s="1013">
        <v>654343.42000000004</v>
      </c>
    </row>
    <row r="34" spans="1:4" x14ac:dyDescent="0.35">
      <c r="A34" s="642" t="s">
        <v>717</v>
      </c>
      <c r="B34" s="854">
        <v>44742</v>
      </c>
      <c r="C34" s="642" t="s">
        <v>713</v>
      </c>
      <c r="D34" s="1013">
        <v>55184.1</v>
      </c>
    </row>
    <row r="35" spans="1:4" x14ac:dyDescent="0.35">
      <c r="A35" s="642" t="s">
        <v>717</v>
      </c>
      <c r="B35" s="854">
        <v>44742</v>
      </c>
      <c r="C35" s="642" t="s">
        <v>719</v>
      </c>
      <c r="D35" s="1013">
        <v>2681.91</v>
      </c>
    </row>
    <row r="36" spans="1:4" s="894" customFormat="1" x14ac:dyDescent="0.35">
      <c r="A36" s="642"/>
      <c r="B36" s="854"/>
      <c r="C36" s="642"/>
      <c r="D36" s="1013">
        <f>SUM(D28:D35)</f>
        <v>8739055.0300000012</v>
      </c>
    </row>
    <row r="37" spans="1:4" s="894" customFormat="1" x14ac:dyDescent="0.35">
      <c r="B37" s="853"/>
      <c r="D37" s="916"/>
    </row>
    <row r="38" spans="1:4" x14ac:dyDescent="0.35">
      <c r="A38" s="642" t="s">
        <v>720</v>
      </c>
      <c r="B38" s="854">
        <v>44742</v>
      </c>
      <c r="C38" s="642" t="s">
        <v>713</v>
      </c>
      <c r="D38" s="1013">
        <v>2726.5</v>
      </c>
    </row>
    <row r="39" spans="1:4" x14ac:dyDescent="0.35">
      <c r="A39" s="642" t="s">
        <v>720</v>
      </c>
      <c r="B39" s="854">
        <v>44742</v>
      </c>
      <c r="C39" s="642" t="s">
        <v>709</v>
      </c>
      <c r="D39" s="1013">
        <v>280862.59999999998</v>
      </c>
    </row>
    <row r="40" spans="1:4" x14ac:dyDescent="0.35">
      <c r="A40" s="642" t="s">
        <v>720</v>
      </c>
      <c r="B40" s="854">
        <v>44742</v>
      </c>
      <c r="C40" s="642" t="s">
        <v>714</v>
      </c>
      <c r="D40" s="1013">
        <v>72847.199999999997</v>
      </c>
    </row>
    <row r="41" spans="1:4" x14ac:dyDescent="0.35">
      <c r="A41" s="642" t="s">
        <v>720</v>
      </c>
      <c r="B41" s="854">
        <v>44742</v>
      </c>
      <c r="C41" s="642" t="s">
        <v>707</v>
      </c>
      <c r="D41" s="1013">
        <v>165072</v>
      </c>
    </row>
    <row r="42" spans="1:4" s="894" customFormat="1" x14ac:dyDescent="0.35">
      <c r="A42" s="642"/>
      <c r="B42" s="854"/>
      <c r="C42" s="642"/>
      <c r="D42" s="1013">
        <f>SUM(D38:D41)</f>
        <v>521508.3</v>
      </c>
    </row>
    <row r="43" spans="1:4" s="894" customFormat="1" x14ac:dyDescent="0.35">
      <c r="B43" s="853"/>
      <c r="D43" s="916"/>
    </row>
    <row r="44" spans="1:4" x14ac:dyDescent="0.35">
      <c r="A44" s="894" t="s">
        <v>721</v>
      </c>
      <c r="B44" s="853">
        <v>44742</v>
      </c>
      <c r="C44" s="894" t="s">
        <v>722</v>
      </c>
      <c r="D44" s="916">
        <v>0</v>
      </c>
    </row>
    <row r="45" spans="1:4" x14ac:dyDescent="0.35">
      <c r="A45" s="894" t="s">
        <v>721</v>
      </c>
      <c r="B45" s="853">
        <v>44742</v>
      </c>
      <c r="C45" s="894" t="s">
        <v>714</v>
      </c>
      <c r="D45" s="916">
        <v>319853.5</v>
      </c>
    </row>
    <row r="46" spans="1:4" x14ac:dyDescent="0.35">
      <c r="A46" s="894" t="s">
        <v>721</v>
      </c>
      <c r="B46" s="853">
        <v>44742</v>
      </c>
      <c r="C46" s="894" t="s">
        <v>707</v>
      </c>
      <c r="D46" s="916">
        <v>0</v>
      </c>
    </row>
    <row r="47" spans="1:4" x14ac:dyDescent="0.35">
      <c r="A47" s="894" t="s">
        <v>721</v>
      </c>
      <c r="B47" s="853">
        <v>44742</v>
      </c>
      <c r="C47" s="894" t="s">
        <v>719</v>
      </c>
      <c r="D47" s="916">
        <v>0</v>
      </c>
    </row>
    <row r="48" spans="1:4" x14ac:dyDescent="0.35">
      <c r="A48" s="894" t="s">
        <v>721</v>
      </c>
      <c r="B48" s="853">
        <v>44742</v>
      </c>
      <c r="C48" s="894" t="s">
        <v>712</v>
      </c>
      <c r="D48" s="916">
        <v>3698</v>
      </c>
    </row>
    <row r="49" spans="1:4" x14ac:dyDescent="0.35">
      <c r="A49" s="894" t="s">
        <v>721</v>
      </c>
      <c r="B49" s="853">
        <v>44742</v>
      </c>
      <c r="C49" s="894" t="s">
        <v>713</v>
      </c>
      <c r="D49" s="916">
        <v>10582.2</v>
      </c>
    </row>
    <row r="50" spans="1:4" x14ac:dyDescent="0.35">
      <c r="A50" s="894" t="s">
        <v>721</v>
      </c>
      <c r="B50" s="853">
        <v>44742</v>
      </c>
      <c r="C50" s="894" t="s">
        <v>709</v>
      </c>
      <c r="D50" s="916">
        <v>0</v>
      </c>
    </row>
    <row r="51" spans="1:4" s="894" customFormat="1" x14ac:dyDescent="0.35">
      <c r="B51" s="853"/>
      <c r="D51" s="916">
        <f>SUM(D44:D50)</f>
        <v>334133.7</v>
      </c>
    </row>
    <row r="52" spans="1:4" s="894" customFormat="1" x14ac:dyDescent="0.35">
      <c r="B52" s="853"/>
      <c r="D52" s="916"/>
    </row>
    <row r="53" spans="1:4" x14ac:dyDescent="0.35">
      <c r="A53" s="642" t="s">
        <v>723</v>
      </c>
      <c r="B53" s="854">
        <v>44742</v>
      </c>
      <c r="C53" s="642" t="s">
        <v>724</v>
      </c>
      <c r="D53" s="1013">
        <v>27354.46</v>
      </c>
    </row>
    <row r="54" spans="1:4" x14ac:dyDescent="0.35">
      <c r="A54" s="642" t="s">
        <v>723</v>
      </c>
      <c r="B54" s="854">
        <v>44742</v>
      </c>
      <c r="C54" s="642" t="s">
        <v>714</v>
      </c>
      <c r="D54" s="1013">
        <v>4443341.4000000004</v>
      </c>
    </row>
    <row r="55" spans="1:4" x14ac:dyDescent="0.35">
      <c r="A55" s="642" t="s">
        <v>723</v>
      </c>
      <c r="B55" s="854">
        <v>44742</v>
      </c>
      <c r="C55" s="642" t="s">
        <v>713</v>
      </c>
      <c r="D55" s="1013">
        <v>72312.7</v>
      </c>
    </row>
    <row r="56" spans="1:4" x14ac:dyDescent="0.35">
      <c r="A56" s="642" t="s">
        <v>723</v>
      </c>
      <c r="B56" s="854">
        <v>44742</v>
      </c>
      <c r="C56" s="642" t="s">
        <v>709</v>
      </c>
      <c r="D56" s="1013">
        <v>1376203.9</v>
      </c>
    </row>
    <row r="57" spans="1:4" x14ac:dyDescent="0.35">
      <c r="A57" s="642" t="s">
        <v>723</v>
      </c>
      <c r="B57" s="854">
        <v>44742</v>
      </c>
      <c r="C57" s="642" t="s">
        <v>712</v>
      </c>
      <c r="D57" s="1013">
        <v>6780.2</v>
      </c>
    </row>
    <row r="58" spans="1:4" x14ac:dyDescent="0.35">
      <c r="A58" s="642" t="s">
        <v>723</v>
      </c>
      <c r="B58" s="854">
        <v>44742</v>
      </c>
      <c r="C58" s="642" t="s">
        <v>707</v>
      </c>
      <c r="D58" s="1013">
        <v>12953170.92</v>
      </c>
    </row>
    <row r="59" spans="1:4" s="894" customFormat="1" x14ac:dyDescent="0.35">
      <c r="A59" s="642"/>
      <c r="B59" s="854"/>
      <c r="C59" s="642"/>
      <c r="D59" s="1013">
        <f>SUM(D53:D58)</f>
        <v>18879163.580000002</v>
      </c>
    </row>
    <row r="60" spans="1:4" s="894" customFormat="1" x14ac:dyDescent="0.35">
      <c r="B60" s="853"/>
      <c r="D60" s="916"/>
    </row>
    <row r="61" spans="1:4" x14ac:dyDescent="0.35">
      <c r="A61" s="642" t="s">
        <v>725</v>
      </c>
      <c r="B61" s="854">
        <v>44742</v>
      </c>
      <c r="C61" s="642" t="s">
        <v>713</v>
      </c>
      <c r="D61" s="1013">
        <v>6803.5</v>
      </c>
    </row>
    <row r="62" spans="1:4" x14ac:dyDescent="0.35">
      <c r="A62" s="642" t="s">
        <v>725</v>
      </c>
      <c r="B62" s="854">
        <v>44742</v>
      </c>
      <c r="C62" s="642" t="s">
        <v>709</v>
      </c>
      <c r="D62" s="1013">
        <v>1220076.06</v>
      </c>
    </row>
    <row r="63" spans="1:4" x14ac:dyDescent="0.35">
      <c r="A63" s="642" t="s">
        <v>725</v>
      </c>
      <c r="B63" s="854">
        <v>44742</v>
      </c>
      <c r="C63" s="642" t="s">
        <v>714</v>
      </c>
      <c r="D63" s="1013">
        <v>427000.7</v>
      </c>
    </row>
    <row r="64" spans="1:4" x14ac:dyDescent="0.35">
      <c r="A64" s="642" t="s">
        <v>725</v>
      </c>
      <c r="B64" s="854">
        <v>44742</v>
      </c>
      <c r="C64" s="642" t="s">
        <v>712</v>
      </c>
      <c r="D64" s="1013">
        <v>546.1</v>
      </c>
    </row>
    <row r="65" spans="1:4" x14ac:dyDescent="0.35">
      <c r="A65" s="642" t="s">
        <v>725</v>
      </c>
      <c r="B65" s="854">
        <v>44742</v>
      </c>
      <c r="C65" s="642" t="s">
        <v>707</v>
      </c>
      <c r="D65" s="1013">
        <v>150837</v>
      </c>
    </row>
    <row r="66" spans="1:4" s="894" customFormat="1" x14ac:dyDescent="0.35">
      <c r="A66" s="642"/>
      <c r="B66" s="854"/>
      <c r="C66" s="642"/>
      <c r="D66" s="1013">
        <f>SUM(D61:D65)</f>
        <v>1805263.36</v>
      </c>
    </row>
    <row r="67" spans="1:4" s="894" customFormat="1" x14ac:dyDescent="0.35">
      <c r="B67" s="853"/>
      <c r="D67" s="916"/>
    </row>
    <row r="68" spans="1:4" x14ac:dyDescent="0.35">
      <c r="A68" s="642" t="s">
        <v>726</v>
      </c>
      <c r="B68" s="854">
        <v>44742</v>
      </c>
      <c r="C68" s="642" t="s">
        <v>714</v>
      </c>
      <c r="D68" s="1013">
        <v>991692.80000000005</v>
      </c>
    </row>
    <row r="69" spans="1:4" x14ac:dyDescent="0.35">
      <c r="A69" s="642" t="s">
        <v>726</v>
      </c>
      <c r="B69" s="854">
        <v>44742</v>
      </c>
      <c r="C69" s="642" t="s">
        <v>707</v>
      </c>
      <c r="D69" s="1013">
        <v>2275914</v>
      </c>
    </row>
    <row r="70" spans="1:4" x14ac:dyDescent="0.35">
      <c r="A70" s="642" t="s">
        <v>726</v>
      </c>
      <c r="B70" s="854">
        <v>44742</v>
      </c>
      <c r="C70" s="642" t="s">
        <v>712</v>
      </c>
      <c r="D70" s="1013">
        <v>3239.8</v>
      </c>
    </row>
    <row r="71" spans="1:4" x14ac:dyDescent="0.35">
      <c r="A71" s="642" t="s">
        <v>726</v>
      </c>
      <c r="B71" s="854">
        <v>44742</v>
      </c>
      <c r="C71" s="642" t="s">
        <v>713</v>
      </c>
      <c r="D71" s="1013">
        <v>18305.099999999999</v>
      </c>
    </row>
    <row r="72" spans="1:4" x14ac:dyDescent="0.35">
      <c r="A72" s="642" t="s">
        <v>726</v>
      </c>
      <c r="B72" s="854">
        <v>44742</v>
      </c>
      <c r="C72" s="642" t="s">
        <v>719</v>
      </c>
      <c r="D72" s="1013">
        <v>22488.05</v>
      </c>
    </row>
    <row r="73" spans="1:4" x14ac:dyDescent="0.35">
      <c r="A73" s="642" t="s">
        <v>726</v>
      </c>
      <c r="B73" s="854">
        <v>44742</v>
      </c>
      <c r="C73" s="642" t="s">
        <v>709</v>
      </c>
      <c r="D73" s="1013">
        <v>647359.65</v>
      </c>
    </row>
    <row r="74" spans="1:4" s="894" customFormat="1" x14ac:dyDescent="0.35">
      <c r="A74" s="642"/>
      <c r="B74" s="854"/>
      <c r="C74" s="642"/>
      <c r="D74" s="1013">
        <f>SUM(D68:D73)</f>
        <v>3958999.3999999994</v>
      </c>
    </row>
    <row r="75" spans="1:4" s="894" customFormat="1" x14ac:dyDescent="0.35">
      <c r="A75" s="642"/>
      <c r="B75" s="854"/>
      <c r="C75" s="642"/>
      <c r="D75" s="1013"/>
    </row>
    <row r="76" spans="1:4" x14ac:dyDescent="0.35">
      <c r="A76" s="642" t="s">
        <v>45</v>
      </c>
      <c r="B76" s="854">
        <v>44742</v>
      </c>
      <c r="C76" s="642" t="s">
        <v>714</v>
      </c>
      <c r="D76" s="1013">
        <v>24013</v>
      </c>
    </row>
    <row r="77" spans="1:4" x14ac:dyDescent="0.35">
      <c r="A77" s="642" t="s">
        <v>45</v>
      </c>
      <c r="B77" s="854">
        <v>44742</v>
      </c>
      <c r="C77" s="642" t="s">
        <v>713</v>
      </c>
      <c r="D77" s="1013">
        <v>1241</v>
      </c>
    </row>
    <row r="78" spans="1:4" x14ac:dyDescent="0.35">
      <c r="A78" s="642" t="s">
        <v>45</v>
      </c>
      <c r="B78" s="854">
        <v>44742</v>
      </c>
      <c r="C78" s="642" t="s">
        <v>709</v>
      </c>
      <c r="D78" s="1013">
        <v>64784.02</v>
      </c>
    </row>
    <row r="79" spans="1:4" s="894" customFormat="1" x14ac:dyDescent="0.35">
      <c r="A79" s="642"/>
      <c r="B79" s="854"/>
      <c r="C79" s="642"/>
      <c r="D79" s="1013">
        <f>SUM(D75:D78)</f>
        <v>90038.01999999999</v>
      </c>
    </row>
    <row r="80" spans="1:4" s="894" customFormat="1" x14ac:dyDescent="0.35">
      <c r="B80" s="853"/>
      <c r="D80" s="916"/>
    </row>
    <row r="81" spans="1:4" x14ac:dyDescent="0.35">
      <c r="A81" s="642" t="s">
        <v>727</v>
      </c>
      <c r="B81" s="854">
        <v>44742</v>
      </c>
      <c r="C81" s="642" t="s">
        <v>713</v>
      </c>
      <c r="D81" s="1013">
        <v>78.5</v>
      </c>
    </row>
    <row r="82" spans="1:4" x14ac:dyDescent="0.35">
      <c r="A82" s="642" t="s">
        <v>727</v>
      </c>
      <c r="B82" s="854">
        <v>44742</v>
      </c>
      <c r="C82" s="642" t="s">
        <v>714</v>
      </c>
      <c r="D82" s="1013">
        <v>2731.1</v>
      </c>
    </row>
    <row r="83" spans="1:4" x14ac:dyDescent="0.35">
      <c r="A83" s="642" t="s">
        <v>727</v>
      </c>
      <c r="B83" s="854">
        <v>44742</v>
      </c>
      <c r="C83" s="642" t="s">
        <v>707</v>
      </c>
      <c r="D83" s="1013">
        <v>45993</v>
      </c>
    </row>
    <row r="84" spans="1:4" s="894" customFormat="1" x14ac:dyDescent="0.35">
      <c r="A84" s="642"/>
      <c r="B84" s="854"/>
      <c r="C84" s="642"/>
      <c r="D84" s="1013">
        <f>SUM(D81:D83)</f>
        <v>48802.6</v>
      </c>
    </row>
    <row r="85" spans="1:4" s="894" customFormat="1" x14ac:dyDescent="0.35">
      <c r="B85" s="853"/>
      <c r="D85" s="916"/>
    </row>
    <row r="86" spans="1:4" x14ac:dyDescent="0.35">
      <c r="A86" s="642" t="s">
        <v>728</v>
      </c>
      <c r="B86" s="854">
        <v>44742</v>
      </c>
      <c r="C86" s="642" t="s">
        <v>714</v>
      </c>
      <c r="D86" s="1013">
        <v>287599.2</v>
      </c>
    </row>
    <row r="87" spans="1:4" x14ac:dyDescent="0.35">
      <c r="A87" s="642" t="s">
        <v>728</v>
      </c>
      <c r="B87" s="854">
        <v>44742</v>
      </c>
      <c r="C87" s="642" t="s">
        <v>713</v>
      </c>
      <c r="D87" s="1013">
        <v>5404.1</v>
      </c>
    </row>
    <row r="88" spans="1:4" x14ac:dyDescent="0.35">
      <c r="A88" s="642" t="s">
        <v>728</v>
      </c>
      <c r="B88" s="854">
        <v>44742</v>
      </c>
      <c r="C88" s="642" t="s">
        <v>709</v>
      </c>
      <c r="D88" s="1013">
        <v>267090.67</v>
      </c>
    </row>
    <row r="89" spans="1:4" x14ac:dyDescent="0.35">
      <c r="A89" s="642" t="s">
        <v>728</v>
      </c>
      <c r="B89" s="854">
        <v>44742</v>
      </c>
      <c r="C89" s="642" t="s">
        <v>712</v>
      </c>
      <c r="D89" s="1013">
        <v>233.9</v>
      </c>
    </row>
    <row r="90" spans="1:4" x14ac:dyDescent="0.35">
      <c r="A90" s="642" t="s">
        <v>728</v>
      </c>
      <c r="B90" s="854">
        <v>44742</v>
      </c>
      <c r="C90" s="642" t="s">
        <v>719</v>
      </c>
      <c r="D90" s="1013">
        <v>65966.67</v>
      </c>
    </row>
    <row r="91" spans="1:4" x14ac:dyDescent="0.35">
      <c r="A91" s="642" t="s">
        <v>728</v>
      </c>
      <c r="B91" s="854">
        <v>44742</v>
      </c>
      <c r="C91" s="642" t="s">
        <v>707</v>
      </c>
      <c r="D91" s="1013">
        <v>712150</v>
      </c>
    </row>
    <row r="92" spans="1:4" s="894" customFormat="1" x14ac:dyDescent="0.35">
      <c r="A92" s="642"/>
      <c r="B92" s="854"/>
      <c r="C92" s="642"/>
      <c r="D92" s="1013">
        <f>SUM(D86:D91)</f>
        <v>1338444.54</v>
      </c>
    </row>
    <row r="93" spans="1:4" s="894" customFormat="1" x14ac:dyDescent="0.35">
      <c r="B93" s="853"/>
      <c r="D93" s="916"/>
    </row>
    <row r="94" spans="1:4" x14ac:dyDescent="0.35">
      <c r="A94" s="642" t="s">
        <v>729</v>
      </c>
      <c r="B94" s="854">
        <v>44742</v>
      </c>
      <c r="C94" s="642" t="s">
        <v>714</v>
      </c>
      <c r="D94" s="1013">
        <v>68178.600000000006</v>
      </c>
    </row>
    <row r="95" spans="1:4" x14ac:dyDescent="0.35">
      <c r="A95" s="642" t="s">
        <v>729</v>
      </c>
      <c r="B95" s="854">
        <v>44742</v>
      </c>
      <c r="C95" s="642" t="s">
        <v>719</v>
      </c>
      <c r="D95" s="1013">
        <v>648.11</v>
      </c>
    </row>
    <row r="96" spans="1:4" x14ac:dyDescent="0.35">
      <c r="A96" s="642" t="s">
        <v>729</v>
      </c>
      <c r="B96" s="854">
        <v>44742</v>
      </c>
      <c r="C96" s="642" t="s">
        <v>712</v>
      </c>
      <c r="D96" s="1013">
        <v>225</v>
      </c>
    </row>
    <row r="97" spans="1:4" x14ac:dyDescent="0.35">
      <c r="A97" s="642" t="s">
        <v>729</v>
      </c>
      <c r="B97" s="854">
        <v>44742</v>
      </c>
      <c r="C97" s="642" t="s">
        <v>713</v>
      </c>
      <c r="D97" s="1013">
        <v>1856</v>
      </c>
    </row>
    <row r="98" spans="1:4" x14ac:dyDescent="0.35">
      <c r="A98" s="642" t="s">
        <v>729</v>
      </c>
      <c r="B98" s="854">
        <v>44742</v>
      </c>
      <c r="C98" s="642" t="s">
        <v>707</v>
      </c>
      <c r="D98" s="1013">
        <v>220491</v>
      </c>
    </row>
    <row r="99" spans="1:4" s="894" customFormat="1" x14ac:dyDescent="0.35">
      <c r="A99" s="642"/>
      <c r="B99" s="854"/>
      <c r="C99" s="642"/>
      <c r="D99" s="1013">
        <f>SUM(D94:D98)</f>
        <v>291398.71000000002</v>
      </c>
    </row>
    <row r="100" spans="1:4" s="894" customFormat="1" x14ac:dyDescent="0.35">
      <c r="B100" s="853"/>
      <c r="D100" s="916"/>
    </row>
    <row r="101" spans="1:4" x14ac:dyDescent="0.35">
      <c r="A101" s="642" t="s">
        <v>730</v>
      </c>
      <c r="B101" s="854">
        <v>44742</v>
      </c>
      <c r="C101" s="642" t="s">
        <v>713</v>
      </c>
      <c r="D101" s="1013">
        <v>14121.8</v>
      </c>
    </row>
    <row r="102" spans="1:4" x14ac:dyDescent="0.35">
      <c r="A102" s="642" t="s">
        <v>730</v>
      </c>
      <c r="B102" s="854">
        <v>44742</v>
      </c>
      <c r="C102" s="642" t="s">
        <v>709</v>
      </c>
      <c r="D102" s="1013">
        <v>703674.69</v>
      </c>
    </row>
    <row r="103" spans="1:4" x14ac:dyDescent="0.35">
      <c r="A103" s="642" t="s">
        <v>730</v>
      </c>
      <c r="B103" s="854">
        <v>44742</v>
      </c>
      <c r="C103" s="642" t="s">
        <v>712</v>
      </c>
      <c r="D103" s="1013">
        <v>2910.5</v>
      </c>
    </row>
    <row r="104" spans="1:4" x14ac:dyDescent="0.35">
      <c r="A104" s="642" t="s">
        <v>730</v>
      </c>
      <c r="B104" s="854">
        <v>44742</v>
      </c>
      <c r="C104" s="642" t="s">
        <v>714</v>
      </c>
      <c r="D104" s="1013">
        <v>506914</v>
      </c>
    </row>
    <row r="105" spans="1:4" x14ac:dyDescent="0.35">
      <c r="A105" s="642" t="s">
        <v>730</v>
      </c>
      <c r="B105" s="854">
        <v>44742</v>
      </c>
      <c r="C105" s="642" t="s">
        <v>719</v>
      </c>
      <c r="D105" s="1013">
        <v>4492.1499999999996</v>
      </c>
    </row>
    <row r="106" spans="1:4" x14ac:dyDescent="0.35">
      <c r="A106" s="642" t="s">
        <v>730</v>
      </c>
      <c r="B106" s="854">
        <v>44742</v>
      </c>
      <c r="C106" s="642" t="s">
        <v>707</v>
      </c>
      <c r="D106" s="1013">
        <v>939282</v>
      </c>
    </row>
    <row r="107" spans="1:4" s="894" customFormat="1" x14ac:dyDescent="0.35">
      <c r="A107" s="642"/>
      <c r="B107" s="854"/>
      <c r="C107" s="642"/>
      <c r="D107" s="1013">
        <f>SUM(D100:D106)</f>
        <v>2171395.1399999997</v>
      </c>
    </row>
    <row r="108" spans="1:4" s="894" customFormat="1" x14ac:dyDescent="0.35">
      <c r="B108" s="853"/>
      <c r="D108" s="916"/>
    </row>
    <row r="109" spans="1:4" x14ac:dyDescent="0.35">
      <c r="A109" s="642" t="s">
        <v>731</v>
      </c>
      <c r="B109" s="854">
        <v>44742</v>
      </c>
      <c r="C109" s="642" t="s">
        <v>718</v>
      </c>
      <c r="D109" s="1013">
        <v>-101136</v>
      </c>
    </row>
    <row r="110" spans="1:4" x14ac:dyDescent="0.35">
      <c r="A110" s="642" t="s">
        <v>731</v>
      </c>
      <c r="B110" s="854">
        <v>44742</v>
      </c>
      <c r="C110" s="642" t="s">
        <v>724</v>
      </c>
      <c r="D110" s="1013">
        <v>0</v>
      </c>
    </row>
    <row r="111" spans="1:4" x14ac:dyDescent="0.35">
      <c r="A111" s="642" t="s">
        <v>731</v>
      </c>
      <c r="B111" s="854">
        <v>44742</v>
      </c>
      <c r="C111" s="642" t="s">
        <v>710</v>
      </c>
      <c r="D111" s="1013">
        <v>32572.07</v>
      </c>
    </row>
    <row r="112" spans="1:4" x14ac:dyDescent="0.35">
      <c r="A112" s="642" t="s">
        <v>731</v>
      </c>
      <c r="B112" s="854">
        <v>44742</v>
      </c>
      <c r="C112" s="642" t="s">
        <v>714</v>
      </c>
      <c r="D112" s="1013">
        <v>1444161.7</v>
      </c>
    </row>
    <row r="113" spans="1:4" x14ac:dyDescent="0.35">
      <c r="A113" s="642" t="s">
        <v>731</v>
      </c>
      <c r="B113" s="854">
        <v>44742</v>
      </c>
      <c r="C113" s="642" t="s">
        <v>709</v>
      </c>
      <c r="D113" s="1013">
        <v>36834.239999999998</v>
      </c>
    </row>
    <row r="114" spans="1:4" x14ac:dyDescent="0.35">
      <c r="A114" s="642" t="s">
        <v>731</v>
      </c>
      <c r="B114" s="854">
        <v>44742</v>
      </c>
      <c r="C114" s="642" t="s">
        <v>712</v>
      </c>
      <c r="D114" s="1013">
        <v>11541.9</v>
      </c>
    </row>
    <row r="115" spans="1:4" x14ac:dyDescent="0.35">
      <c r="A115" s="642" t="s">
        <v>731</v>
      </c>
      <c r="B115" s="854">
        <v>44742</v>
      </c>
      <c r="C115" s="642" t="s">
        <v>713</v>
      </c>
      <c r="D115" s="1013">
        <v>31775.4</v>
      </c>
    </row>
    <row r="116" spans="1:4" x14ac:dyDescent="0.35">
      <c r="A116" s="642" t="s">
        <v>731</v>
      </c>
      <c r="B116" s="854">
        <v>44742</v>
      </c>
      <c r="C116" s="642" t="s">
        <v>707</v>
      </c>
      <c r="D116" s="1013">
        <v>6779678.1600000001</v>
      </c>
    </row>
    <row r="117" spans="1:4" x14ac:dyDescent="0.35">
      <c r="A117" s="642" t="s">
        <v>731</v>
      </c>
      <c r="B117" s="854">
        <v>44742</v>
      </c>
      <c r="C117" s="642" t="s">
        <v>719</v>
      </c>
      <c r="D117" s="1013">
        <v>9295.23</v>
      </c>
    </row>
    <row r="118" spans="1:4" s="894" customFormat="1" x14ac:dyDescent="0.35">
      <c r="A118" s="642"/>
      <c r="B118" s="854"/>
      <c r="C118" s="642"/>
      <c r="D118" s="1013">
        <f>SUM(D109:D117)</f>
        <v>8244722.7000000002</v>
      </c>
    </row>
    <row r="119" spans="1:4" s="894" customFormat="1" x14ac:dyDescent="0.35">
      <c r="B119" s="853"/>
      <c r="D119" s="916"/>
    </row>
    <row r="120" spans="1:4" x14ac:dyDescent="0.35">
      <c r="A120" s="642" t="s">
        <v>732</v>
      </c>
      <c r="B120" s="854">
        <v>44742</v>
      </c>
      <c r="C120" s="642" t="s">
        <v>714</v>
      </c>
      <c r="D120" s="1013">
        <v>153767</v>
      </c>
    </row>
    <row r="121" spans="1:4" x14ac:dyDescent="0.35">
      <c r="A121" s="642" t="s">
        <v>732</v>
      </c>
      <c r="B121" s="854">
        <v>44742</v>
      </c>
      <c r="C121" s="642" t="s">
        <v>719</v>
      </c>
      <c r="D121" s="1013">
        <v>15538.86</v>
      </c>
    </row>
    <row r="122" spans="1:4" x14ac:dyDescent="0.35">
      <c r="A122" s="642" t="s">
        <v>732</v>
      </c>
      <c r="B122" s="854">
        <v>44742</v>
      </c>
      <c r="C122" s="642" t="s">
        <v>712</v>
      </c>
      <c r="D122" s="1013">
        <v>130</v>
      </c>
    </row>
    <row r="123" spans="1:4" x14ac:dyDescent="0.35">
      <c r="A123" s="642" t="s">
        <v>732</v>
      </c>
      <c r="B123" s="854">
        <v>44742</v>
      </c>
      <c r="C123" s="642" t="s">
        <v>713</v>
      </c>
      <c r="D123" s="1013">
        <v>3900</v>
      </c>
    </row>
    <row r="124" spans="1:4" x14ac:dyDescent="0.35">
      <c r="A124" s="642" t="s">
        <v>732</v>
      </c>
      <c r="B124" s="854">
        <v>44742</v>
      </c>
      <c r="C124" s="642" t="s">
        <v>707</v>
      </c>
      <c r="D124" s="1013">
        <v>489977</v>
      </c>
    </row>
    <row r="125" spans="1:4" x14ac:dyDescent="0.35">
      <c r="A125" s="642" t="s">
        <v>732</v>
      </c>
      <c r="B125" s="854">
        <v>44742</v>
      </c>
      <c r="C125" s="642" t="s">
        <v>709</v>
      </c>
      <c r="D125" s="1013">
        <v>11574.92</v>
      </c>
    </row>
    <row r="126" spans="1:4" s="894" customFormat="1" x14ac:dyDescent="0.35">
      <c r="A126" s="642"/>
      <c r="B126" s="854"/>
      <c r="C126" s="642"/>
      <c r="D126" s="1013">
        <f>SUM(D120:D125)</f>
        <v>674887.78</v>
      </c>
    </row>
    <row r="127" spans="1:4" s="894" customFormat="1" x14ac:dyDescent="0.35">
      <c r="A127" s="642"/>
      <c r="B127" s="854"/>
      <c r="C127" s="642"/>
      <c r="D127" s="1013"/>
    </row>
    <row r="128" spans="1:4" ht="16.75" customHeight="1" x14ac:dyDescent="0.35">
      <c r="A128" s="642" t="s">
        <v>777</v>
      </c>
      <c r="B128" s="854">
        <v>44742</v>
      </c>
      <c r="C128" s="642" t="s">
        <v>709</v>
      </c>
      <c r="D128" s="1013">
        <v>33615.22</v>
      </c>
    </row>
    <row r="129" spans="1:4" x14ac:dyDescent="0.35">
      <c r="A129" s="642" t="s">
        <v>777</v>
      </c>
      <c r="B129" s="854">
        <v>44742</v>
      </c>
      <c r="C129" s="642" t="s">
        <v>714</v>
      </c>
      <c r="D129" s="1013">
        <v>17574.900000000001</v>
      </c>
    </row>
    <row r="130" spans="1:4" x14ac:dyDescent="0.35">
      <c r="A130" s="642" t="s">
        <v>777</v>
      </c>
      <c r="B130" s="854">
        <v>44742</v>
      </c>
      <c r="C130" s="642" t="s">
        <v>712</v>
      </c>
      <c r="D130" s="1013">
        <v>100</v>
      </c>
    </row>
    <row r="131" spans="1:4" s="894" customFormat="1" x14ac:dyDescent="0.35">
      <c r="A131" s="642"/>
      <c r="B131" s="854"/>
      <c r="C131" s="642"/>
      <c r="D131" s="1013">
        <f>SUM(D128:D130)</f>
        <v>51290.12</v>
      </c>
    </row>
    <row r="132" spans="1:4" s="894" customFormat="1" x14ac:dyDescent="0.35">
      <c r="B132" s="853"/>
      <c r="D132" s="916"/>
    </row>
    <row r="133" spans="1:4" x14ac:dyDescent="0.35">
      <c r="A133" s="642" t="s">
        <v>481</v>
      </c>
      <c r="B133" s="854">
        <v>44742</v>
      </c>
      <c r="C133" s="642" t="s">
        <v>712</v>
      </c>
      <c r="D133" s="1013">
        <v>65</v>
      </c>
    </row>
    <row r="134" spans="1:4" x14ac:dyDescent="0.35">
      <c r="A134" s="642" t="s">
        <v>481</v>
      </c>
      <c r="B134" s="854">
        <v>44742</v>
      </c>
      <c r="C134" s="642" t="s">
        <v>709</v>
      </c>
      <c r="D134" s="1013">
        <v>5104.58</v>
      </c>
    </row>
    <row r="135" spans="1:4" x14ac:dyDescent="0.35">
      <c r="A135" s="642" t="s">
        <v>481</v>
      </c>
      <c r="B135" s="854">
        <v>44742</v>
      </c>
      <c r="C135" s="642" t="s">
        <v>719</v>
      </c>
      <c r="D135" s="1013">
        <v>4608.43</v>
      </c>
    </row>
    <row r="136" spans="1:4" x14ac:dyDescent="0.35">
      <c r="A136" s="642" t="s">
        <v>481</v>
      </c>
      <c r="B136" s="854">
        <v>44742</v>
      </c>
      <c r="C136" s="642" t="s">
        <v>714</v>
      </c>
      <c r="D136" s="1013">
        <v>1850.2</v>
      </c>
    </row>
    <row r="137" spans="1:4" s="894" customFormat="1" x14ac:dyDescent="0.35">
      <c r="A137" s="642"/>
      <c r="B137" s="854"/>
      <c r="C137" s="642"/>
      <c r="D137" s="1013">
        <f>SUM(D133:D136)</f>
        <v>11628.210000000001</v>
      </c>
    </row>
    <row r="138" spans="1:4" s="894" customFormat="1" x14ac:dyDescent="0.35">
      <c r="B138" s="853"/>
      <c r="D138" s="916"/>
    </row>
    <row r="139" spans="1:4" x14ac:dyDescent="0.35">
      <c r="A139" s="642" t="s">
        <v>734</v>
      </c>
      <c r="B139" s="854">
        <v>44742</v>
      </c>
      <c r="C139" s="642" t="s">
        <v>709</v>
      </c>
      <c r="D139" s="1013">
        <v>1120.51</v>
      </c>
    </row>
    <row r="140" spans="1:4" s="894" customFormat="1" x14ac:dyDescent="0.35">
      <c r="A140" s="642"/>
      <c r="B140" s="854"/>
      <c r="C140" s="642"/>
      <c r="D140" s="1013">
        <f>SUM(D139)</f>
        <v>1120.51</v>
      </c>
    </row>
    <row r="141" spans="1:4" s="894" customFormat="1" x14ac:dyDescent="0.35">
      <c r="B141" s="853"/>
      <c r="D141" s="916"/>
    </row>
    <row r="142" spans="1:4" x14ac:dyDescent="0.35">
      <c r="A142" s="642" t="s">
        <v>736</v>
      </c>
      <c r="B142" s="854">
        <v>44742</v>
      </c>
      <c r="C142" s="642" t="s">
        <v>712</v>
      </c>
      <c r="D142" s="1013">
        <v>2059</v>
      </c>
    </row>
    <row r="143" spans="1:4" x14ac:dyDescent="0.35">
      <c r="A143" s="642" t="s">
        <v>736</v>
      </c>
      <c r="B143" s="854">
        <v>44742</v>
      </c>
      <c r="C143" s="642" t="s">
        <v>714</v>
      </c>
      <c r="D143" s="1013">
        <v>387835.9</v>
      </c>
    </row>
    <row r="144" spans="1:4" x14ac:dyDescent="0.35">
      <c r="A144" s="642" t="s">
        <v>736</v>
      </c>
      <c r="B144" s="854">
        <v>44742</v>
      </c>
      <c r="C144" s="642" t="s">
        <v>707</v>
      </c>
      <c r="D144" s="1013">
        <v>780525</v>
      </c>
    </row>
    <row r="145" spans="1:4" x14ac:dyDescent="0.35">
      <c r="A145" s="642" t="s">
        <v>736</v>
      </c>
      <c r="B145" s="854">
        <v>44742</v>
      </c>
      <c r="C145" s="642" t="s">
        <v>713</v>
      </c>
      <c r="D145" s="1013">
        <v>3493</v>
      </c>
    </row>
    <row r="146" spans="1:4" x14ac:dyDescent="0.35">
      <c r="A146" s="642" t="s">
        <v>736</v>
      </c>
      <c r="B146" s="854">
        <v>44742</v>
      </c>
      <c r="C146" s="642" t="s">
        <v>709</v>
      </c>
      <c r="D146" s="1013">
        <v>123812.62</v>
      </c>
    </row>
    <row r="147" spans="1:4" s="894" customFormat="1" x14ac:dyDescent="0.35">
      <c r="A147" s="642"/>
      <c r="B147" s="854"/>
      <c r="C147" s="642"/>
      <c r="D147" s="1013">
        <f>SUM(D142:D146)</f>
        <v>1297725.52</v>
      </c>
    </row>
    <row r="148" spans="1:4" s="894" customFormat="1" x14ac:dyDescent="0.35">
      <c r="B148" s="853"/>
      <c r="D148" s="916"/>
    </row>
    <row r="149" spans="1:4" x14ac:dyDescent="0.35">
      <c r="A149" s="642" t="s">
        <v>511</v>
      </c>
      <c r="B149" s="854">
        <v>44742</v>
      </c>
      <c r="C149" s="642" t="s">
        <v>714</v>
      </c>
      <c r="D149" s="1013">
        <v>1154.2</v>
      </c>
    </row>
    <row r="150" spans="1:4" x14ac:dyDescent="0.35">
      <c r="A150" s="642" t="s">
        <v>511</v>
      </c>
      <c r="B150" s="854">
        <v>44742</v>
      </c>
      <c r="C150" s="642" t="s">
        <v>709</v>
      </c>
      <c r="D150" s="1013">
        <v>35856.230000000003</v>
      </c>
    </row>
    <row r="151" spans="1:4" x14ac:dyDescent="0.35">
      <c r="A151" s="642" t="s">
        <v>511</v>
      </c>
      <c r="B151" s="854">
        <v>44742</v>
      </c>
      <c r="C151" s="642" t="s">
        <v>713</v>
      </c>
      <c r="D151" s="1013">
        <v>260</v>
      </c>
    </row>
    <row r="152" spans="1:4" s="894" customFormat="1" x14ac:dyDescent="0.35">
      <c r="A152" s="642"/>
      <c r="B152" s="854"/>
      <c r="C152" s="642"/>
      <c r="D152" s="1013">
        <f>SUM(D149:D151)</f>
        <v>37270.43</v>
      </c>
    </row>
    <row r="153" spans="1:4" s="894" customFormat="1" x14ac:dyDescent="0.35">
      <c r="B153" s="853"/>
      <c r="D153" s="916"/>
    </row>
    <row r="154" spans="1:4" x14ac:dyDescent="0.35">
      <c r="A154" s="642" t="s">
        <v>737</v>
      </c>
      <c r="B154" s="854">
        <v>44742</v>
      </c>
      <c r="C154" s="642" t="s">
        <v>714</v>
      </c>
      <c r="D154" s="1013">
        <v>9175.7000000000007</v>
      </c>
    </row>
    <row r="155" spans="1:4" x14ac:dyDescent="0.35">
      <c r="A155" s="642" t="s">
        <v>737</v>
      </c>
      <c r="B155" s="854">
        <v>44742</v>
      </c>
      <c r="C155" s="642" t="s">
        <v>712</v>
      </c>
      <c r="D155" s="1013">
        <v>220</v>
      </c>
    </row>
    <row r="156" spans="1:4" x14ac:dyDescent="0.35">
      <c r="A156" s="642" t="s">
        <v>737</v>
      </c>
      <c r="B156" s="854">
        <v>44742</v>
      </c>
      <c r="C156" s="642" t="s">
        <v>707</v>
      </c>
      <c r="D156" s="1013">
        <v>29244</v>
      </c>
    </row>
    <row r="157" spans="1:4" x14ac:dyDescent="0.35">
      <c r="A157" s="642" t="s">
        <v>737</v>
      </c>
      <c r="B157" s="854">
        <v>44742</v>
      </c>
      <c r="C157" s="642" t="s">
        <v>713</v>
      </c>
      <c r="D157" s="1013">
        <v>62.5</v>
      </c>
    </row>
    <row r="158" spans="1:4" s="894" customFormat="1" x14ac:dyDescent="0.35">
      <c r="A158" s="642"/>
      <c r="B158" s="854"/>
      <c r="C158" s="642"/>
      <c r="D158" s="1013">
        <f>SUM(D154:D157)</f>
        <v>38702.199999999997</v>
      </c>
    </row>
    <row r="159" spans="1:4" s="894" customFormat="1" x14ac:dyDescent="0.35">
      <c r="B159" s="853"/>
      <c r="D159" s="916"/>
    </row>
    <row r="160" spans="1:4" x14ac:dyDescent="0.35">
      <c r="A160" s="642" t="s">
        <v>738</v>
      </c>
      <c r="B160" s="854">
        <v>44742</v>
      </c>
      <c r="C160" s="642" t="s">
        <v>707</v>
      </c>
      <c r="D160" s="1013">
        <v>8976</v>
      </c>
    </row>
    <row r="161" spans="1:4" x14ac:dyDescent="0.35">
      <c r="A161" s="642" t="s">
        <v>738</v>
      </c>
      <c r="B161" s="854">
        <v>44742</v>
      </c>
      <c r="C161" s="642" t="s">
        <v>714</v>
      </c>
      <c r="D161" s="1013">
        <v>5839.2</v>
      </c>
    </row>
    <row r="162" spans="1:4" s="894" customFormat="1" x14ac:dyDescent="0.35">
      <c r="A162" s="642"/>
      <c r="B162" s="854"/>
      <c r="C162" s="642"/>
      <c r="D162" s="1013">
        <f>SUM(D160:D161)</f>
        <v>14815.2</v>
      </c>
    </row>
    <row r="163" spans="1:4" s="894" customFormat="1" x14ac:dyDescent="0.35">
      <c r="B163" s="853"/>
      <c r="D163" s="916"/>
    </row>
    <row r="164" spans="1:4" x14ac:dyDescent="0.35">
      <c r="A164" s="642" t="s">
        <v>739</v>
      </c>
      <c r="B164" s="854">
        <v>44742</v>
      </c>
      <c r="C164" s="642" t="s">
        <v>707</v>
      </c>
      <c r="D164" s="1013">
        <v>142044</v>
      </c>
    </row>
    <row r="165" spans="1:4" x14ac:dyDescent="0.35">
      <c r="A165" s="642" t="s">
        <v>739</v>
      </c>
      <c r="B165" s="854">
        <v>44742</v>
      </c>
      <c r="C165" s="642" t="s">
        <v>714</v>
      </c>
      <c r="D165" s="1013">
        <v>63059.3</v>
      </c>
    </row>
    <row r="166" spans="1:4" x14ac:dyDescent="0.35">
      <c r="A166" s="642" t="s">
        <v>739</v>
      </c>
      <c r="B166" s="854">
        <v>44742</v>
      </c>
      <c r="C166" s="642" t="s">
        <v>713</v>
      </c>
      <c r="D166" s="1013">
        <v>1370</v>
      </c>
    </row>
    <row r="167" spans="1:4" x14ac:dyDescent="0.35">
      <c r="A167" s="642" t="s">
        <v>739</v>
      </c>
      <c r="B167" s="854">
        <v>44742</v>
      </c>
      <c r="C167" s="642" t="s">
        <v>712</v>
      </c>
      <c r="D167" s="1013">
        <v>721.3</v>
      </c>
    </row>
    <row r="168" spans="1:4" x14ac:dyDescent="0.35">
      <c r="A168" s="642" t="s">
        <v>739</v>
      </c>
      <c r="B168" s="854">
        <v>44742</v>
      </c>
      <c r="C168" s="642" t="s">
        <v>709</v>
      </c>
      <c r="D168" s="1013">
        <v>25966.07</v>
      </c>
    </row>
    <row r="169" spans="1:4" s="894" customFormat="1" x14ac:dyDescent="0.35">
      <c r="A169" s="642"/>
      <c r="B169" s="854"/>
      <c r="C169" s="642"/>
      <c r="D169" s="1013">
        <f>SUM(D164:D168)</f>
        <v>233160.66999999998</v>
      </c>
    </row>
    <row r="170" spans="1:4" s="894" customFormat="1" x14ac:dyDescent="0.35">
      <c r="B170" s="853"/>
      <c r="D170" s="916"/>
    </row>
    <row r="171" spans="1:4" x14ac:dyDescent="0.35">
      <c r="A171" s="642" t="s">
        <v>740</v>
      </c>
      <c r="B171" s="854">
        <v>44742</v>
      </c>
      <c r="C171" s="642" t="s">
        <v>714</v>
      </c>
      <c r="D171" s="1013">
        <v>18007.7</v>
      </c>
    </row>
    <row r="172" spans="1:4" x14ac:dyDescent="0.35">
      <c r="A172" s="642" t="s">
        <v>740</v>
      </c>
      <c r="B172" s="854">
        <v>44742</v>
      </c>
      <c r="C172" s="642" t="s">
        <v>713</v>
      </c>
      <c r="D172" s="1013">
        <v>826</v>
      </c>
    </row>
    <row r="173" spans="1:4" x14ac:dyDescent="0.35">
      <c r="A173" s="642" t="s">
        <v>740</v>
      </c>
      <c r="B173" s="854">
        <v>44742</v>
      </c>
      <c r="C173" s="642" t="s">
        <v>710</v>
      </c>
      <c r="D173" s="1013">
        <v>0</v>
      </c>
    </row>
    <row r="174" spans="1:4" x14ac:dyDescent="0.35">
      <c r="A174" s="642" t="s">
        <v>740</v>
      </c>
      <c r="B174" s="854">
        <v>44742</v>
      </c>
      <c r="C174" s="642" t="s">
        <v>707</v>
      </c>
      <c r="D174" s="1013">
        <v>43508</v>
      </c>
    </row>
    <row r="175" spans="1:4" s="894" customFormat="1" x14ac:dyDescent="0.35">
      <c r="A175" s="642"/>
      <c r="B175" s="854"/>
      <c r="C175" s="642"/>
      <c r="D175" s="1013">
        <f>SUM(D171:D174)</f>
        <v>62341.7</v>
      </c>
    </row>
    <row r="176" spans="1:4" s="894" customFormat="1" x14ac:dyDescent="0.35">
      <c r="B176" s="853"/>
      <c r="D176" s="916"/>
    </row>
    <row r="177" spans="1:4" x14ac:dyDescent="0.35">
      <c r="A177" s="642" t="s">
        <v>741</v>
      </c>
      <c r="B177" s="854">
        <v>44742</v>
      </c>
      <c r="C177" s="642" t="s">
        <v>709</v>
      </c>
      <c r="D177" s="1013">
        <v>148060.62</v>
      </c>
    </row>
    <row r="178" spans="1:4" x14ac:dyDescent="0.35">
      <c r="A178" s="642" t="s">
        <v>741</v>
      </c>
      <c r="B178" s="854">
        <v>44742</v>
      </c>
      <c r="C178" s="642" t="s">
        <v>713</v>
      </c>
      <c r="D178" s="1013">
        <v>99</v>
      </c>
    </row>
    <row r="179" spans="1:4" x14ac:dyDescent="0.35">
      <c r="A179" s="642" t="s">
        <v>741</v>
      </c>
      <c r="B179" s="854">
        <v>44742</v>
      </c>
      <c r="C179" s="642" t="s">
        <v>714</v>
      </c>
      <c r="D179" s="1013">
        <v>24000.2</v>
      </c>
    </row>
    <row r="180" spans="1:4" s="894" customFormat="1" x14ac:dyDescent="0.35">
      <c r="A180" s="642"/>
      <c r="B180" s="854"/>
      <c r="C180" s="642"/>
      <c r="D180" s="1013">
        <f>SUM(D177:D179)</f>
        <v>172159.82</v>
      </c>
    </row>
    <row r="181" spans="1:4" s="894" customFormat="1" x14ac:dyDescent="0.35">
      <c r="B181" s="853"/>
      <c r="D181" s="916"/>
    </row>
    <row r="182" spans="1:4" x14ac:dyDescent="0.35">
      <c r="A182" s="642" t="s">
        <v>742</v>
      </c>
      <c r="B182" s="854">
        <v>44742</v>
      </c>
      <c r="C182" s="642" t="s">
        <v>713</v>
      </c>
      <c r="D182" s="1013">
        <v>6589</v>
      </c>
    </row>
    <row r="183" spans="1:4" x14ac:dyDescent="0.35">
      <c r="A183" s="642" t="s">
        <v>742</v>
      </c>
      <c r="B183" s="854">
        <v>44742</v>
      </c>
      <c r="C183" s="642" t="s">
        <v>712</v>
      </c>
      <c r="D183" s="1013">
        <v>1726.4</v>
      </c>
    </row>
    <row r="184" spans="1:4" x14ac:dyDescent="0.35">
      <c r="A184" s="642" t="s">
        <v>742</v>
      </c>
      <c r="B184" s="854">
        <v>44742</v>
      </c>
      <c r="C184" s="642" t="s">
        <v>707</v>
      </c>
      <c r="D184" s="1013">
        <v>873945</v>
      </c>
    </row>
    <row r="185" spans="1:4" x14ac:dyDescent="0.35">
      <c r="A185" s="642" t="s">
        <v>742</v>
      </c>
      <c r="B185" s="854">
        <v>44742</v>
      </c>
      <c r="C185" s="642" t="s">
        <v>714</v>
      </c>
      <c r="D185" s="1013">
        <v>195060.5</v>
      </c>
    </row>
    <row r="186" spans="1:4" s="894" customFormat="1" x14ac:dyDescent="0.35">
      <c r="A186" s="642"/>
      <c r="B186" s="854"/>
      <c r="C186" s="642"/>
      <c r="D186" s="1013">
        <f>SUM(D182:D185)</f>
        <v>1077320.8999999999</v>
      </c>
    </row>
    <row r="187" spans="1:4" s="894" customFormat="1" x14ac:dyDescent="0.35">
      <c r="B187" s="853"/>
      <c r="D187" s="916"/>
    </row>
    <row r="188" spans="1:4" x14ac:dyDescent="0.35">
      <c r="A188" s="642" t="s">
        <v>743</v>
      </c>
      <c r="B188" s="854">
        <v>44742</v>
      </c>
      <c r="C188" s="642" t="s">
        <v>707</v>
      </c>
      <c r="D188" s="1013">
        <v>385077</v>
      </c>
    </row>
    <row r="189" spans="1:4" x14ac:dyDescent="0.35">
      <c r="A189" s="642" t="s">
        <v>743</v>
      </c>
      <c r="B189" s="854">
        <v>44742</v>
      </c>
      <c r="C189" s="642" t="s">
        <v>714</v>
      </c>
      <c r="D189" s="1013">
        <v>259714.9</v>
      </c>
    </row>
    <row r="190" spans="1:4" x14ac:dyDescent="0.35">
      <c r="A190" s="642" t="s">
        <v>743</v>
      </c>
      <c r="B190" s="854">
        <v>44742</v>
      </c>
      <c r="C190" s="642" t="s">
        <v>710</v>
      </c>
      <c r="D190" s="1013">
        <v>1025</v>
      </c>
    </row>
    <row r="191" spans="1:4" x14ac:dyDescent="0.35">
      <c r="A191" s="642" t="s">
        <v>743</v>
      </c>
      <c r="B191" s="854">
        <v>44742</v>
      </c>
      <c r="C191" s="642" t="s">
        <v>709</v>
      </c>
      <c r="D191" s="1013">
        <v>19528.02</v>
      </c>
    </row>
    <row r="192" spans="1:4" x14ac:dyDescent="0.35">
      <c r="A192" s="642" t="s">
        <v>743</v>
      </c>
      <c r="B192" s="854">
        <v>44742</v>
      </c>
      <c r="C192" s="642" t="s">
        <v>713</v>
      </c>
      <c r="D192" s="1013">
        <v>33262.5</v>
      </c>
    </row>
    <row r="193" spans="1:4" s="894" customFormat="1" x14ac:dyDescent="0.35">
      <c r="A193" s="642"/>
      <c r="B193" s="854"/>
      <c r="C193" s="642"/>
      <c r="D193" s="1013">
        <f>SUM(D188:D192)</f>
        <v>698607.42</v>
      </c>
    </row>
    <row r="194" spans="1:4" s="894" customFormat="1" x14ac:dyDescent="0.35">
      <c r="B194" s="853"/>
      <c r="D194" s="916"/>
    </row>
    <row r="195" spans="1:4" x14ac:dyDescent="0.35">
      <c r="A195" s="642" t="s">
        <v>526</v>
      </c>
      <c r="B195" s="854">
        <v>44742</v>
      </c>
      <c r="C195" s="642" t="s">
        <v>713</v>
      </c>
      <c r="D195" s="1013">
        <v>2536.5</v>
      </c>
    </row>
    <row r="196" spans="1:4" x14ac:dyDescent="0.35">
      <c r="A196" s="642" t="s">
        <v>526</v>
      </c>
      <c r="B196" s="854">
        <v>44742</v>
      </c>
      <c r="C196" s="642" t="s">
        <v>712</v>
      </c>
      <c r="D196" s="1013">
        <v>485</v>
      </c>
    </row>
    <row r="197" spans="1:4" x14ac:dyDescent="0.35">
      <c r="A197" s="642" t="s">
        <v>526</v>
      </c>
      <c r="B197" s="854">
        <v>44742</v>
      </c>
      <c r="C197" s="642" t="s">
        <v>707</v>
      </c>
      <c r="D197" s="1013">
        <v>1423431</v>
      </c>
    </row>
    <row r="198" spans="1:4" x14ac:dyDescent="0.35">
      <c r="A198" s="642" t="s">
        <v>526</v>
      </c>
      <c r="B198" s="854">
        <v>44742</v>
      </c>
      <c r="C198" s="642" t="s">
        <v>714</v>
      </c>
      <c r="D198" s="1013">
        <v>291861.7</v>
      </c>
    </row>
    <row r="199" spans="1:4" s="894" customFormat="1" x14ac:dyDescent="0.35">
      <c r="A199" s="642"/>
      <c r="B199" s="854"/>
      <c r="C199" s="642"/>
      <c r="D199" s="1013">
        <f>SUM(D195:D198)</f>
        <v>1718314.2</v>
      </c>
    </row>
    <row r="200" spans="1:4" s="894" customFormat="1" x14ac:dyDescent="0.35">
      <c r="B200" s="853"/>
      <c r="D200" s="916"/>
    </row>
    <row r="201" spans="1:4" x14ac:dyDescent="0.35">
      <c r="A201" s="642" t="s">
        <v>744</v>
      </c>
      <c r="B201" s="854">
        <v>44742</v>
      </c>
      <c r="C201" s="642" t="s">
        <v>714</v>
      </c>
      <c r="D201" s="1013">
        <v>56515.9</v>
      </c>
    </row>
    <row r="202" spans="1:4" x14ac:dyDescent="0.35">
      <c r="A202" s="642" t="s">
        <v>744</v>
      </c>
      <c r="B202" s="854">
        <v>44742</v>
      </c>
      <c r="C202" s="642" t="s">
        <v>707</v>
      </c>
      <c r="D202" s="1013">
        <v>29799</v>
      </c>
    </row>
    <row r="203" spans="1:4" x14ac:dyDescent="0.35">
      <c r="A203" s="642" t="s">
        <v>744</v>
      </c>
      <c r="B203" s="854">
        <v>44742</v>
      </c>
      <c r="C203" s="642" t="s">
        <v>712</v>
      </c>
      <c r="D203" s="1013">
        <v>250</v>
      </c>
    </row>
    <row r="204" spans="1:4" x14ac:dyDescent="0.35">
      <c r="A204" s="642" t="s">
        <v>744</v>
      </c>
      <c r="B204" s="854">
        <v>44742</v>
      </c>
      <c r="C204" s="642" t="s">
        <v>709</v>
      </c>
      <c r="D204" s="1013">
        <v>186879.84</v>
      </c>
    </row>
    <row r="205" spans="1:4" x14ac:dyDescent="0.35">
      <c r="A205" s="642" t="s">
        <v>744</v>
      </c>
      <c r="B205" s="854">
        <v>44742</v>
      </c>
      <c r="C205" s="642" t="s">
        <v>713</v>
      </c>
      <c r="D205" s="1013">
        <v>3740.2</v>
      </c>
    </row>
    <row r="206" spans="1:4" s="894" customFormat="1" x14ac:dyDescent="0.35">
      <c r="A206" s="642"/>
      <c r="B206" s="854"/>
      <c r="C206" s="642"/>
      <c r="D206" s="1013">
        <f>SUM(D201:D205)</f>
        <v>277184.94</v>
      </c>
    </row>
    <row r="207" spans="1:4" s="894" customFormat="1" x14ac:dyDescent="0.35">
      <c r="B207" s="853"/>
      <c r="D207" s="916"/>
    </row>
    <row r="208" spans="1:4" x14ac:dyDescent="0.35">
      <c r="A208" s="642" t="s">
        <v>745</v>
      </c>
      <c r="B208" s="854">
        <v>44742</v>
      </c>
      <c r="C208" s="642" t="s">
        <v>713</v>
      </c>
      <c r="D208" s="1013">
        <v>2657.5</v>
      </c>
    </row>
    <row r="209" spans="1:4" x14ac:dyDescent="0.35">
      <c r="A209" s="642" t="s">
        <v>745</v>
      </c>
      <c r="B209" s="854">
        <v>44742</v>
      </c>
      <c r="C209" s="642" t="s">
        <v>707</v>
      </c>
      <c r="D209" s="1013">
        <v>297633</v>
      </c>
    </row>
    <row r="210" spans="1:4" x14ac:dyDescent="0.35">
      <c r="A210" s="642" t="s">
        <v>745</v>
      </c>
      <c r="B210" s="854">
        <v>44742</v>
      </c>
      <c r="C210" s="642" t="s">
        <v>714</v>
      </c>
      <c r="D210" s="1013">
        <v>119505.5</v>
      </c>
    </row>
    <row r="211" spans="1:4" s="894" customFormat="1" x14ac:dyDescent="0.35">
      <c r="A211" s="642"/>
      <c r="B211" s="854"/>
      <c r="C211" s="642"/>
      <c r="D211" s="1013">
        <f>SUM(D208:D210)</f>
        <v>419796</v>
      </c>
    </row>
    <row r="212" spans="1:4" s="894" customFormat="1" x14ac:dyDescent="0.35">
      <c r="B212" s="853"/>
      <c r="D212" s="916"/>
    </row>
    <row r="213" spans="1:4" x14ac:dyDescent="0.35">
      <c r="A213" s="642" t="s">
        <v>746</v>
      </c>
      <c r="B213" s="854">
        <v>44742</v>
      </c>
      <c r="C213" s="642" t="s">
        <v>707</v>
      </c>
      <c r="D213" s="1013">
        <v>44415</v>
      </c>
    </row>
    <row r="214" spans="1:4" x14ac:dyDescent="0.35">
      <c r="A214" s="642" t="s">
        <v>746</v>
      </c>
      <c r="B214" s="854">
        <v>44742</v>
      </c>
      <c r="C214" s="642" t="s">
        <v>714</v>
      </c>
      <c r="D214" s="1013">
        <v>7528.6</v>
      </c>
    </row>
    <row r="215" spans="1:4" x14ac:dyDescent="0.35">
      <c r="A215" s="642" t="s">
        <v>746</v>
      </c>
      <c r="B215" s="854">
        <v>44742</v>
      </c>
      <c r="C215" s="642" t="s">
        <v>709</v>
      </c>
      <c r="D215" s="1013">
        <v>12914.19</v>
      </c>
    </row>
    <row r="216" spans="1:4" s="894" customFormat="1" x14ac:dyDescent="0.35">
      <c r="A216" s="642"/>
      <c r="B216" s="854"/>
      <c r="C216" s="642"/>
      <c r="D216" s="1013">
        <f>SUM(D213:D215)</f>
        <v>64857.79</v>
      </c>
    </row>
    <row r="217" spans="1:4" s="894" customFormat="1" x14ac:dyDescent="0.35">
      <c r="B217" s="853"/>
      <c r="D217" s="916"/>
    </row>
    <row r="218" spans="1:4" x14ac:dyDescent="0.35">
      <c r="A218" s="642" t="s">
        <v>748</v>
      </c>
      <c r="B218" s="854">
        <v>44742</v>
      </c>
      <c r="C218" s="642" t="s">
        <v>709</v>
      </c>
      <c r="D218" s="1013">
        <v>14684.38</v>
      </c>
    </row>
    <row r="219" spans="1:4" x14ac:dyDescent="0.35">
      <c r="A219" s="642" t="s">
        <v>748</v>
      </c>
      <c r="B219" s="854">
        <v>44742</v>
      </c>
      <c r="C219" s="642" t="s">
        <v>710</v>
      </c>
      <c r="D219" s="1013">
        <v>215082.1</v>
      </c>
    </row>
    <row r="220" spans="1:4" s="894" customFormat="1" x14ac:dyDescent="0.35">
      <c r="A220" s="642"/>
      <c r="B220" s="854"/>
      <c r="C220" s="642"/>
      <c r="D220" s="1013">
        <f>SUM(D218:D219)</f>
        <v>229766.48</v>
      </c>
    </row>
    <row r="221" spans="1:4" s="894" customFormat="1" x14ac:dyDescent="0.35">
      <c r="B221" s="853"/>
      <c r="D221" s="916"/>
    </row>
    <row r="222" spans="1:4" x14ac:dyDescent="0.35">
      <c r="A222" s="642" t="s">
        <v>749</v>
      </c>
      <c r="B222" s="854">
        <v>44742</v>
      </c>
      <c r="C222" s="642" t="s">
        <v>709</v>
      </c>
      <c r="D222" s="1013">
        <v>53289.7</v>
      </c>
    </row>
    <row r="223" spans="1:4" x14ac:dyDescent="0.35">
      <c r="A223" s="642" t="s">
        <v>749</v>
      </c>
      <c r="B223" s="854">
        <v>44742</v>
      </c>
      <c r="C223" s="642" t="s">
        <v>713</v>
      </c>
      <c r="D223" s="1013">
        <v>348</v>
      </c>
    </row>
    <row r="224" spans="1:4" x14ac:dyDescent="0.35">
      <c r="A224" s="642" t="s">
        <v>749</v>
      </c>
      <c r="B224" s="854">
        <v>44742</v>
      </c>
      <c r="C224" s="642" t="s">
        <v>707</v>
      </c>
      <c r="D224" s="1013">
        <v>20316</v>
      </c>
    </row>
    <row r="225" spans="1:4" x14ac:dyDescent="0.35">
      <c r="A225" s="642" t="s">
        <v>749</v>
      </c>
      <c r="B225" s="854">
        <v>44742</v>
      </c>
      <c r="C225" s="642" t="s">
        <v>714</v>
      </c>
      <c r="D225" s="1013">
        <v>8831.9</v>
      </c>
    </row>
    <row r="226" spans="1:4" s="894" customFormat="1" x14ac:dyDescent="0.35">
      <c r="A226" s="642"/>
      <c r="B226" s="854"/>
      <c r="C226" s="642"/>
      <c r="D226" s="1013">
        <f>SUM(D222:D225)</f>
        <v>82785.599999999991</v>
      </c>
    </row>
    <row r="227" spans="1:4" s="894" customFormat="1" x14ac:dyDescent="0.35">
      <c r="B227" s="853"/>
      <c r="D227" s="916"/>
    </row>
    <row r="228" spans="1:4" x14ac:dyDescent="0.35">
      <c r="A228" s="642" t="s">
        <v>750</v>
      </c>
      <c r="B228" s="854">
        <v>44742</v>
      </c>
      <c r="C228" s="642" t="s">
        <v>709</v>
      </c>
      <c r="D228" s="1013">
        <v>144693.97</v>
      </c>
    </row>
    <row r="229" spans="1:4" x14ac:dyDescent="0.35">
      <c r="A229" s="642" t="s">
        <v>750</v>
      </c>
      <c r="B229" s="854">
        <v>44742</v>
      </c>
      <c r="C229" s="642" t="s">
        <v>707</v>
      </c>
      <c r="D229" s="1013">
        <v>583294</v>
      </c>
    </row>
    <row r="230" spans="1:4" x14ac:dyDescent="0.35">
      <c r="A230" s="642" t="s">
        <v>750</v>
      </c>
      <c r="B230" s="854">
        <v>44742</v>
      </c>
      <c r="C230" s="642" t="s">
        <v>712</v>
      </c>
      <c r="D230" s="1013">
        <v>545</v>
      </c>
    </row>
    <row r="231" spans="1:4" x14ac:dyDescent="0.35">
      <c r="A231" s="642" t="s">
        <v>750</v>
      </c>
      <c r="B231" s="854">
        <v>44742</v>
      </c>
      <c r="C231" s="642" t="s">
        <v>713</v>
      </c>
      <c r="D231" s="1013">
        <v>2398.5</v>
      </c>
    </row>
    <row r="232" spans="1:4" x14ac:dyDescent="0.35">
      <c r="A232" s="642" t="s">
        <v>750</v>
      </c>
      <c r="B232" s="854">
        <v>44742</v>
      </c>
      <c r="C232" s="642" t="s">
        <v>714</v>
      </c>
      <c r="D232" s="1013">
        <v>273344</v>
      </c>
    </row>
    <row r="233" spans="1:4" s="894" customFormat="1" x14ac:dyDescent="0.35">
      <c r="A233" s="642"/>
      <c r="B233" s="854"/>
      <c r="C233" s="642"/>
      <c r="D233" s="1013">
        <f>SUM(D228:D232)</f>
        <v>1004275.47</v>
      </c>
    </row>
    <row r="234" spans="1:4" s="894" customFormat="1" x14ac:dyDescent="0.35">
      <c r="B234" s="853"/>
      <c r="D234" s="916"/>
    </row>
    <row r="235" spans="1:4" x14ac:dyDescent="0.35">
      <c r="A235" s="642" t="s">
        <v>751</v>
      </c>
      <c r="B235" s="854">
        <v>44742</v>
      </c>
      <c r="C235" s="642" t="s">
        <v>713</v>
      </c>
      <c r="D235" s="1013">
        <v>11181.2</v>
      </c>
    </row>
    <row r="236" spans="1:4" x14ac:dyDescent="0.35">
      <c r="A236" s="642" t="s">
        <v>751</v>
      </c>
      <c r="B236" s="854">
        <v>44742</v>
      </c>
      <c r="C236" s="642" t="s">
        <v>709</v>
      </c>
      <c r="D236" s="1013">
        <v>8574.69</v>
      </c>
    </row>
    <row r="237" spans="1:4" x14ac:dyDescent="0.35">
      <c r="A237" s="642" t="s">
        <v>751</v>
      </c>
      <c r="B237" s="854">
        <v>44742</v>
      </c>
      <c r="C237" s="642" t="s">
        <v>707</v>
      </c>
      <c r="D237" s="1013">
        <v>857710</v>
      </c>
    </row>
    <row r="238" spans="1:4" x14ac:dyDescent="0.35">
      <c r="A238" s="642" t="s">
        <v>751</v>
      </c>
      <c r="B238" s="854">
        <v>44742</v>
      </c>
      <c r="C238" s="642" t="s">
        <v>714</v>
      </c>
      <c r="D238" s="1013">
        <v>273120.3</v>
      </c>
    </row>
    <row r="239" spans="1:4" x14ac:dyDescent="0.35">
      <c r="A239" s="642" t="s">
        <v>751</v>
      </c>
      <c r="B239" s="854">
        <v>44742</v>
      </c>
      <c r="C239" s="642" t="s">
        <v>712</v>
      </c>
      <c r="D239" s="1013">
        <v>100</v>
      </c>
    </row>
    <row r="240" spans="1:4" s="894" customFormat="1" x14ac:dyDescent="0.35">
      <c r="A240" s="642"/>
      <c r="B240" s="854"/>
      <c r="C240" s="642"/>
      <c r="D240" s="1013">
        <f>SUM(D235:D239)</f>
        <v>1150686.19</v>
      </c>
    </row>
    <row r="241" spans="1:4" s="894" customFormat="1" x14ac:dyDescent="0.35">
      <c r="B241" s="853"/>
      <c r="D241" s="916"/>
    </row>
    <row r="242" spans="1:4" x14ac:dyDescent="0.35">
      <c r="A242" s="642" t="s">
        <v>752</v>
      </c>
      <c r="B242" s="854">
        <v>44742</v>
      </c>
      <c r="C242" s="642" t="s">
        <v>714</v>
      </c>
      <c r="D242" s="1013">
        <v>7705</v>
      </c>
    </row>
    <row r="243" spans="1:4" x14ac:dyDescent="0.35">
      <c r="A243" s="642" t="s">
        <v>752</v>
      </c>
      <c r="B243" s="854">
        <v>44742</v>
      </c>
      <c r="C243" s="642" t="s">
        <v>709</v>
      </c>
      <c r="D243" s="1013">
        <v>20934.36</v>
      </c>
    </row>
    <row r="244" spans="1:4" s="894" customFormat="1" x14ac:dyDescent="0.35">
      <c r="A244" s="642"/>
      <c r="B244" s="854"/>
      <c r="C244" s="642"/>
      <c r="D244" s="1013">
        <f>SUM(D241:D243)</f>
        <v>28639.360000000001</v>
      </c>
    </row>
    <row r="245" spans="1:4" s="894" customFormat="1" x14ac:dyDescent="0.35">
      <c r="B245" s="853"/>
      <c r="D245" s="916"/>
    </row>
    <row r="246" spans="1:4" x14ac:dyDescent="0.35">
      <c r="A246" s="642" t="s">
        <v>753</v>
      </c>
      <c r="B246" s="854">
        <v>44742</v>
      </c>
      <c r="C246" s="642" t="s">
        <v>707</v>
      </c>
      <c r="D246" s="1013">
        <v>210769</v>
      </c>
    </row>
    <row r="247" spans="1:4" x14ac:dyDescent="0.35">
      <c r="A247" s="642" t="s">
        <v>753</v>
      </c>
      <c r="B247" s="854">
        <v>44742</v>
      </c>
      <c r="C247" s="642" t="s">
        <v>714</v>
      </c>
      <c r="D247" s="1013">
        <v>65542.899999999994</v>
      </c>
    </row>
    <row r="248" spans="1:4" x14ac:dyDescent="0.35">
      <c r="A248" s="642" t="s">
        <v>753</v>
      </c>
      <c r="B248" s="854">
        <v>44742</v>
      </c>
      <c r="C248" s="642" t="s">
        <v>713</v>
      </c>
      <c r="D248" s="1013">
        <v>2978.2</v>
      </c>
    </row>
    <row r="249" spans="1:4" s="894" customFormat="1" x14ac:dyDescent="0.35">
      <c r="A249" s="642"/>
      <c r="B249" s="854"/>
      <c r="C249" s="642"/>
      <c r="D249" s="1013">
        <f>SUM(D246:D248)</f>
        <v>279290.10000000003</v>
      </c>
    </row>
    <row r="250" spans="1:4" s="894" customFormat="1" x14ac:dyDescent="0.35">
      <c r="B250" s="853"/>
      <c r="D250" s="916"/>
    </row>
    <row r="251" spans="1:4" x14ac:dyDescent="0.35">
      <c r="A251" s="642" t="s">
        <v>754</v>
      </c>
      <c r="B251" s="854">
        <v>44742</v>
      </c>
      <c r="C251" s="642" t="s">
        <v>710</v>
      </c>
      <c r="D251" s="1013">
        <v>8539.9699999999993</v>
      </c>
    </row>
    <row r="252" spans="1:4" x14ac:dyDescent="0.35">
      <c r="A252" s="642" t="s">
        <v>754</v>
      </c>
      <c r="B252" s="854">
        <v>44742</v>
      </c>
      <c r="C252" s="642" t="s">
        <v>714</v>
      </c>
      <c r="D252" s="1013">
        <v>902059.7</v>
      </c>
    </row>
    <row r="253" spans="1:4" x14ac:dyDescent="0.35">
      <c r="A253" s="642" t="s">
        <v>754</v>
      </c>
      <c r="B253" s="854">
        <v>44742</v>
      </c>
      <c r="C253" s="642" t="s">
        <v>713</v>
      </c>
      <c r="D253" s="1013">
        <v>15009</v>
      </c>
    </row>
    <row r="254" spans="1:4" x14ac:dyDescent="0.35">
      <c r="A254" s="642" t="s">
        <v>754</v>
      </c>
      <c r="B254" s="854">
        <v>44742</v>
      </c>
      <c r="C254" s="642" t="s">
        <v>709</v>
      </c>
      <c r="D254" s="1013">
        <v>2638169.08</v>
      </c>
    </row>
    <row r="255" spans="1:4" x14ac:dyDescent="0.35">
      <c r="A255" s="642" t="s">
        <v>754</v>
      </c>
      <c r="B255" s="854">
        <v>44742</v>
      </c>
      <c r="C255" s="642" t="s">
        <v>712</v>
      </c>
      <c r="D255" s="1013">
        <v>4812</v>
      </c>
    </row>
    <row r="256" spans="1:4" x14ac:dyDescent="0.35">
      <c r="A256" s="642" t="s">
        <v>754</v>
      </c>
      <c r="B256" s="854">
        <v>44742</v>
      </c>
      <c r="C256" s="642" t="s">
        <v>707</v>
      </c>
      <c r="D256" s="1013">
        <v>3033944</v>
      </c>
    </row>
    <row r="257" spans="1:4" x14ac:dyDescent="0.35">
      <c r="A257" s="642" t="s">
        <v>754</v>
      </c>
      <c r="B257" s="854">
        <v>44742</v>
      </c>
      <c r="C257" s="642" t="s">
        <v>719</v>
      </c>
      <c r="D257" s="1013">
        <v>7140.24</v>
      </c>
    </row>
    <row r="258" spans="1:4" s="894" customFormat="1" x14ac:dyDescent="0.35">
      <c r="A258" s="642"/>
      <c r="B258" s="854"/>
      <c r="C258" s="642"/>
      <c r="D258" s="1013">
        <f>SUM(D251:D257)</f>
        <v>6609673.9900000002</v>
      </c>
    </row>
    <row r="259" spans="1:4" s="894" customFormat="1" x14ac:dyDescent="0.35">
      <c r="B259" s="853"/>
      <c r="D259" s="916"/>
    </row>
    <row r="260" spans="1:4" x14ac:dyDescent="0.35">
      <c r="A260" s="642" t="s">
        <v>755</v>
      </c>
      <c r="B260" s="854">
        <v>44742</v>
      </c>
      <c r="C260" s="642" t="s">
        <v>714</v>
      </c>
      <c r="D260" s="1013">
        <v>502389.1</v>
      </c>
    </row>
    <row r="261" spans="1:4" x14ac:dyDescent="0.35">
      <c r="A261" s="642" t="s">
        <v>755</v>
      </c>
      <c r="B261" s="854">
        <v>44742</v>
      </c>
      <c r="C261" s="642" t="s">
        <v>712</v>
      </c>
      <c r="D261" s="1013">
        <v>2726.3</v>
      </c>
    </row>
    <row r="262" spans="1:4" x14ac:dyDescent="0.35">
      <c r="A262" s="642" t="s">
        <v>755</v>
      </c>
      <c r="B262" s="854">
        <v>44742</v>
      </c>
      <c r="C262" s="642" t="s">
        <v>709</v>
      </c>
      <c r="D262" s="1013">
        <v>42234.27</v>
      </c>
    </row>
    <row r="263" spans="1:4" x14ac:dyDescent="0.35">
      <c r="A263" s="642" t="s">
        <v>755</v>
      </c>
      <c r="B263" s="854">
        <v>44742</v>
      </c>
      <c r="C263" s="642" t="s">
        <v>713</v>
      </c>
      <c r="D263" s="1013">
        <v>18919.5</v>
      </c>
    </row>
    <row r="264" spans="1:4" x14ac:dyDescent="0.35">
      <c r="A264" s="642" t="s">
        <v>755</v>
      </c>
      <c r="B264" s="854">
        <v>44742</v>
      </c>
      <c r="C264" s="642" t="s">
        <v>707</v>
      </c>
      <c r="D264" s="1013">
        <v>2142946</v>
      </c>
    </row>
    <row r="265" spans="1:4" s="894" customFormat="1" x14ac:dyDescent="0.35">
      <c r="A265" s="642"/>
      <c r="B265" s="854"/>
      <c r="C265" s="642"/>
      <c r="D265" s="1013">
        <f>SUM(D260:D264)</f>
        <v>2709215.17</v>
      </c>
    </row>
    <row r="266" spans="1:4" s="894" customFormat="1" x14ac:dyDescent="0.35">
      <c r="B266" s="853"/>
      <c r="D266" s="916"/>
    </row>
    <row r="267" spans="1:4" x14ac:dyDescent="0.35">
      <c r="A267" s="642" t="s">
        <v>757</v>
      </c>
      <c r="B267" s="854">
        <v>44742</v>
      </c>
      <c r="C267" s="642" t="s">
        <v>709</v>
      </c>
      <c r="D267" s="1013">
        <v>6710.76</v>
      </c>
    </row>
    <row r="268" spans="1:4" x14ac:dyDescent="0.35">
      <c r="A268" s="642" t="s">
        <v>757</v>
      </c>
      <c r="B268" s="854">
        <v>44742</v>
      </c>
      <c r="C268" s="642" t="s">
        <v>719</v>
      </c>
      <c r="D268" s="1013">
        <v>1897.56</v>
      </c>
    </row>
    <row r="269" spans="1:4" x14ac:dyDescent="0.35">
      <c r="A269" s="642" t="s">
        <v>757</v>
      </c>
      <c r="B269" s="854">
        <v>44742</v>
      </c>
      <c r="C269" s="642" t="s">
        <v>713</v>
      </c>
      <c r="D269" s="1013">
        <v>144.5</v>
      </c>
    </row>
    <row r="270" spans="1:4" x14ac:dyDescent="0.35">
      <c r="A270" s="642" t="s">
        <v>757</v>
      </c>
      <c r="B270" s="854">
        <v>44742</v>
      </c>
      <c r="C270" s="642" t="s">
        <v>707</v>
      </c>
      <c r="D270" s="1013">
        <v>64040</v>
      </c>
    </row>
    <row r="271" spans="1:4" x14ac:dyDescent="0.35">
      <c r="A271" s="642" t="s">
        <v>757</v>
      </c>
      <c r="B271" s="854">
        <v>44742</v>
      </c>
      <c r="C271" s="642" t="s">
        <v>714</v>
      </c>
      <c r="D271" s="1013">
        <v>10302.9</v>
      </c>
    </row>
    <row r="272" spans="1:4" s="894" customFormat="1" x14ac:dyDescent="0.35">
      <c r="A272" s="642"/>
      <c r="B272" s="854"/>
      <c r="C272" s="642"/>
      <c r="D272" s="1013">
        <f>SUM(D267:D271)</f>
        <v>83095.72</v>
      </c>
    </row>
    <row r="273" spans="1:4" s="894" customFormat="1" x14ac:dyDescent="0.35">
      <c r="B273" s="853"/>
      <c r="D273" s="916"/>
    </row>
    <row r="274" spans="1:4" x14ac:dyDescent="0.35">
      <c r="A274" s="642" t="s">
        <v>758</v>
      </c>
      <c r="B274" s="854">
        <v>44742</v>
      </c>
      <c r="C274" s="642" t="s">
        <v>709</v>
      </c>
      <c r="D274" s="1013">
        <v>59853.63</v>
      </c>
    </row>
    <row r="275" spans="1:4" s="894" customFormat="1" x14ac:dyDescent="0.35">
      <c r="A275" s="642"/>
      <c r="B275" s="854"/>
      <c r="C275" s="642"/>
      <c r="D275" s="1013">
        <f>SUM(D274)</f>
        <v>59853.63</v>
      </c>
    </row>
    <row r="276" spans="1:4" s="894" customFormat="1" x14ac:dyDescent="0.35">
      <c r="B276" s="853"/>
      <c r="D276" s="916"/>
    </row>
    <row r="277" spans="1:4" x14ac:dyDescent="0.35">
      <c r="A277" s="642" t="s">
        <v>759</v>
      </c>
      <c r="B277" s="854">
        <v>44742</v>
      </c>
      <c r="C277" s="642" t="s">
        <v>712</v>
      </c>
      <c r="D277" s="1013">
        <v>7652.8</v>
      </c>
    </row>
    <row r="278" spans="1:4" x14ac:dyDescent="0.35">
      <c r="A278" s="642" t="s">
        <v>759</v>
      </c>
      <c r="B278" s="854">
        <v>44742</v>
      </c>
      <c r="C278" s="642" t="s">
        <v>714</v>
      </c>
      <c r="D278" s="1013">
        <v>1612120.5</v>
      </c>
    </row>
    <row r="279" spans="1:4" x14ac:dyDescent="0.35">
      <c r="A279" s="642" t="s">
        <v>759</v>
      </c>
      <c r="B279" s="854">
        <v>44742</v>
      </c>
      <c r="C279" s="642" t="s">
        <v>719</v>
      </c>
      <c r="D279" s="1013">
        <v>53690.7</v>
      </c>
    </row>
    <row r="280" spans="1:4" x14ac:dyDescent="0.35">
      <c r="A280" s="642" t="s">
        <v>759</v>
      </c>
      <c r="B280" s="854">
        <v>44742</v>
      </c>
      <c r="C280" s="642" t="s">
        <v>707</v>
      </c>
      <c r="D280" s="1013">
        <v>4311825</v>
      </c>
    </row>
    <row r="281" spans="1:4" x14ac:dyDescent="0.35">
      <c r="A281" s="642" t="s">
        <v>759</v>
      </c>
      <c r="B281" s="854">
        <v>44742</v>
      </c>
      <c r="C281" s="642" t="s">
        <v>713</v>
      </c>
      <c r="D281" s="1013">
        <v>50129</v>
      </c>
    </row>
    <row r="282" spans="1:4" x14ac:dyDescent="0.35">
      <c r="A282" s="642" t="s">
        <v>759</v>
      </c>
      <c r="B282" s="854">
        <v>44742</v>
      </c>
      <c r="C282" s="642" t="s">
        <v>709</v>
      </c>
      <c r="D282" s="1013">
        <v>283120.33</v>
      </c>
    </row>
    <row r="283" spans="1:4" x14ac:dyDescent="0.35">
      <c r="A283" s="642" t="s">
        <v>759</v>
      </c>
      <c r="B283" s="854">
        <v>44742</v>
      </c>
      <c r="C283" s="642" t="s">
        <v>760</v>
      </c>
      <c r="D283" s="1013">
        <v>-41712.57</v>
      </c>
    </row>
    <row r="284" spans="1:4" s="894" customFormat="1" x14ac:dyDescent="0.35">
      <c r="A284" s="642"/>
      <c r="B284" s="854"/>
      <c r="C284" s="642"/>
      <c r="D284" s="1013">
        <f>SUM(D277:D283)</f>
        <v>6276825.7599999998</v>
      </c>
    </row>
    <row r="285" spans="1:4" s="894" customFormat="1" x14ac:dyDescent="0.35">
      <c r="B285" s="853"/>
      <c r="D285" s="916"/>
    </row>
    <row r="286" spans="1:4" x14ac:dyDescent="0.35">
      <c r="A286" s="642" t="s">
        <v>761</v>
      </c>
      <c r="B286" s="854">
        <v>44742</v>
      </c>
      <c r="C286" s="642" t="s">
        <v>707</v>
      </c>
      <c r="D286" s="1013">
        <v>8749</v>
      </c>
    </row>
    <row r="287" spans="1:4" s="894" customFormat="1" x14ac:dyDescent="0.35">
      <c r="A287" s="642"/>
      <c r="B287" s="854"/>
      <c r="C287" s="642"/>
      <c r="D287" s="1013">
        <f>SUM(D286)</f>
        <v>8749</v>
      </c>
    </row>
    <row r="288" spans="1:4" s="894" customFormat="1" x14ac:dyDescent="0.35">
      <c r="B288" s="853"/>
      <c r="D288" s="916"/>
    </row>
    <row r="289" spans="1:4" x14ac:dyDescent="0.35">
      <c r="A289" s="642" t="s">
        <v>762</v>
      </c>
      <c r="B289" s="854">
        <v>44742</v>
      </c>
      <c r="C289" s="642" t="s">
        <v>707</v>
      </c>
      <c r="D289" s="1013">
        <v>7752</v>
      </c>
    </row>
    <row r="290" spans="1:4" s="894" customFormat="1" x14ac:dyDescent="0.35">
      <c r="A290" s="642"/>
      <c r="B290" s="854"/>
      <c r="C290" s="642"/>
      <c r="D290" s="1013">
        <f>SUM(D289)</f>
        <v>7752</v>
      </c>
    </row>
    <row r="291" spans="1:4" s="894" customFormat="1" x14ac:dyDescent="0.35">
      <c r="B291" s="853"/>
      <c r="D291" s="916"/>
    </row>
    <row r="292" spans="1:4" x14ac:dyDescent="0.35">
      <c r="A292" s="642" t="s">
        <v>763</v>
      </c>
      <c r="B292" s="854">
        <v>44742</v>
      </c>
      <c r="C292" s="642" t="s">
        <v>714</v>
      </c>
      <c r="D292" s="1013">
        <v>32622</v>
      </c>
    </row>
    <row r="293" spans="1:4" x14ac:dyDescent="0.35">
      <c r="A293" s="642" t="s">
        <v>763</v>
      </c>
      <c r="B293" s="854">
        <v>44742</v>
      </c>
      <c r="C293" s="642" t="s">
        <v>724</v>
      </c>
      <c r="D293" s="1013">
        <v>0</v>
      </c>
    </row>
    <row r="294" spans="1:4" x14ac:dyDescent="0.35">
      <c r="A294" s="642" t="s">
        <v>763</v>
      </c>
      <c r="B294" s="854">
        <v>44742</v>
      </c>
      <c r="C294" s="642" t="s">
        <v>707</v>
      </c>
      <c r="D294" s="1013">
        <v>187040</v>
      </c>
    </row>
    <row r="295" spans="1:4" x14ac:dyDescent="0.35">
      <c r="A295" s="642" t="s">
        <v>763</v>
      </c>
      <c r="B295" s="854">
        <v>44742</v>
      </c>
      <c r="C295" s="642" t="s">
        <v>713</v>
      </c>
      <c r="D295" s="1013">
        <v>681</v>
      </c>
    </row>
    <row r="296" spans="1:4" x14ac:dyDescent="0.35">
      <c r="A296" s="642" t="s">
        <v>763</v>
      </c>
      <c r="B296" s="854">
        <v>44742</v>
      </c>
      <c r="C296" s="642" t="s">
        <v>709</v>
      </c>
      <c r="D296" s="1013">
        <v>5581.3</v>
      </c>
    </row>
    <row r="297" spans="1:4" s="894" customFormat="1" x14ac:dyDescent="0.35">
      <c r="A297" s="642"/>
      <c r="B297" s="854"/>
      <c r="C297" s="642"/>
      <c r="D297" s="1013">
        <f>SUM(D292:D296)</f>
        <v>225924.3</v>
      </c>
    </row>
    <row r="298" spans="1:4" s="894" customFormat="1" x14ac:dyDescent="0.35">
      <c r="B298" s="853"/>
      <c r="D298" s="916"/>
    </row>
    <row r="299" spans="1:4" x14ac:dyDescent="0.35">
      <c r="A299" s="642" t="s">
        <v>764</v>
      </c>
      <c r="B299" s="854">
        <v>44742</v>
      </c>
      <c r="C299" s="642" t="s">
        <v>714</v>
      </c>
      <c r="D299" s="1013">
        <v>1113.3</v>
      </c>
    </row>
    <row r="300" spans="1:4" x14ac:dyDescent="0.35">
      <c r="A300" s="642" t="s">
        <v>764</v>
      </c>
      <c r="B300" s="854">
        <v>44742</v>
      </c>
      <c r="C300" s="642" t="s">
        <v>707</v>
      </c>
      <c r="D300" s="1013">
        <v>7947</v>
      </c>
    </row>
    <row r="301" spans="1:4" s="894" customFormat="1" x14ac:dyDescent="0.35">
      <c r="A301" s="642"/>
      <c r="B301" s="854"/>
      <c r="C301" s="642"/>
      <c r="D301" s="1013">
        <f>SUM(D299:D300)</f>
        <v>9060.2999999999993</v>
      </c>
    </row>
    <row r="302" spans="1:4" s="894" customFormat="1" x14ac:dyDescent="0.35">
      <c r="B302" s="853"/>
      <c r="D302" s="916"/>
    </row>
    <row r="303" spans="1:4" x14ac:dyDescent="0.35">
      <c r="A303" s="642" t="s">
        <v>765</v>
      </c>
      <c r="B303" s="854">
        <v>44742</v>
      </c>
      <c r="C303" s="642" t="s">
        <v>714</v>
      </c>
      <c r="D303" s="1013">
        <v>255403.6</v>
      </c>
    </row>
    <row r="304" spans="1:4" x14ac:dyDescent="0.35">
      <c r="A304" s="642" t="s">
        <v>765</v>
      </c>
      <c r="B304" s="854">
        <v>44742</v>
      </c>
      <c r="C304" s="642" t="s">
        <v>707</v>
      </c>
      <c r="D304" s="1013">
        <v>445080</v>
      </c>
    </row>
    <row r="305" spans="1:4" x14ac:dyDescent="0.35">
      <c r="A305" s="642" t="s">
        <v>765</v>
      </c>
      <c r="B305" s="854">
        <v>44742</v>
      </c>
      <c r="C305" s="642" t="s">
        <v>719</v>
      </c>
      <c r="D305" s="1013">
        <v>7643.62</v>
      </c>
    </row>
    <row r="306" spans="1:4" x14ac:dyDescent="0.35">
      <c r="A306" s="642" t="s">
        <v>765</v>
      </c>
      <c r="B306" s="854">
        <v>44742</v>
      </c>
      <c r="C306" s="642" t="s">
        <v>713</v>
      </c>
      <c r="D306" s="1013">
        <v>17694.900000000001</v>
      </c>
    </row>
    <row r="307" spans="1:4" x14ac:dyDescent="0.35">
      <c r="A307" s="642" t="s">
        <v>765</v>
      </c>
      <c r="B307" s="854">
        <v>44742</v>
      </c>
      <c r="C307" s="642" t="s">
        <v>712</v>
      </c>
      <c r="D307" s="1013">
        <v>3792.6</v>
      </c>
    </row>
    <row r="308" spans="1:4" x14ac:dyDescent="0.35">
      <c r="A308" s="642" t="s">
        <v>765</v>
      </c>
      <c r="B308" s="854">
        <v>44742</v>
      </c>
      <c r="C308" s="642" t="s">
        <v>709</v>
      </c>
      <c r="D308" s="1013">
        <v>43022.97</v>
      </c>
    </row>
    <row r="309" spans="1:4" s="894" customFormat="1" x14ac:dyDescent="0.35">
      <c r="A309" s="642"/>
      <c r="B309" s="854"/>
      <c r="C309" s="642"/>
      <c r="D309" s="1013">
        <f>SUM(D303:D308)</f>
        <v>772637.69</v>
      </c>
    </row>
    <row r="310" spans="1:4" s="894" customFormat="1" x14ac:dyDescent="0.35">
      <c r="B310" s="853"/>
      <c r="D310" s="916"/>
    </row>
    <row r="311" spans="1:4" x14ac:dyDescent="0.35">
      <c r="A311" s="642" t="s">
        <v>766</v>
      </c>
      <c r="B311" s="854">
        <v>44742</v>
      </c>
      <c r="C311" s="642" t="s">
        <v>713</v>
      </c>
      <c r="D311" s="1013">
        <v>5399.5</v>
      </c>
    </row>
    <row r="312" spans="1:4" x14ac:dyDescent="0.35">
      <c r="A312" s="642" t="s">
        <v>766</v>
      </c>
      <c r="B312" s="854">
        <v>44742</v>
      </c>
      <c r="C312" s="642" t="s">
        <v>709</v>
      </c>
      <c r="D312" s="1013">
        <v>7423.61</v>
      </c>
    </row>
    <row r="313" spans="1:4" x14ac:dyDescent="0.35">
      <c r="A313" s="642" t="s">
        <v>766</v>
      </c>
      <c r="B313" s="854">
        <v>44742</v>
      </c>
      <c r="C313" s="642" t="s">
        <v>714</v>
      </c>
      <c r="D313" s="1013">
        <v>145941.5</v>
      </c>
    </row>
    <row r="314" spans="1:4" x14ac:dyDescent="0.35">
      <c r="A314" s="642" t="s">
        <v>766</v>
      </c>
      <c r="B314" s="854">
        <v>44742</v>
      </c>
      <c r="C314" s="642" t="s">
        <v>712</v>
      </c>
      <c r="D314" s="1013">
        <v>310</v>
      </c>
    </row>
    <row r="315" spans="1:4" x14ac:dyDescent="0.35">
      <c r="A315" s="642" t="s">
        <v>766</v>
      </c>
      <c r="B315" s="854">
        <v>44742</v>
      </c>
      <c r="C315" s="642" t="s">
        <v>707</v>
      </c>
      <c r="D315" s="1013">
        <v>357766</v>
      </c>
    </row>
    <row r="316" spans="1:4" s="894" customFormat="1" x14ac:dyDescent="0.35">
      <c r="A316" s="642"/>
      <c r="B316" s="854"/>
      <c r="C316" s="642"/>
      <c r="D316" s="1013">
        <f>SUM(D310:D315)</f>
        <v>516840.61</v>
      </c>
    </row>
    <row r="317" spans="1:4" s="894" customFormat="1" x14ac:dyDescent="0.35">
      <c r="B317" s="853"/>
      <c r="D317" s="916"/>
    </row>
    <row r="318" spans="1:4" x14ac:dyDescent="0.35">
      <c r="A318" s="642" t="s">
        <v>767</v>
      </c>
      <c r="B318" s="854">
        <v>44742</v>
      </c>
      <c r="C318" s="642" t="s">
        <v>707</v>
      </c>
      <c r="D318" s="1013">
        <v>21858</v>
      </c>
    </row>
    <row r="319" spans="1:4" x14ac:dyDescent="0.35">
      <c r="A319" s="642" t="s">
        <v>767</v>
      </c>
      <c r="B319" s="854">
        <v>44742</v>
      </c>
      <c r="C319" s="642" t="s">
        <v>709</v>
      </c>
      <c r="D319" s="1013">
        <v>18015</v>
      </c>
    </row>
    <row r="320" spans="1:4" s="894" customFormat="1" x14ac:dyDescent="0.35">
      <c r="A320" s="642"/>
      <c r="B320" s="854"/>
      <c r="C320" s="642"/>
      <c r="D320" s="1013">
        <f>SUM(D318:D319)</f>
        <v>39873</v>
      </c>
    </row>
    <row r="321" spans="1:4" s="894" customFormat="1" x14ac:dyDescent="0.35">
      <c r="B321" s="853"/>
      <c r="D321" s="916"/>
    </row>
    <row r="322" spans="1:4" x14ac:dyDescent="0.35">
      <c r="A322" s="642" t="s">
        <v>771</v>
      </c>
      <c r="B322" s="854">
        <v>44742</v>
      </c>
      <c r="C322" s="642" t="s">
        <v>719</v>
      </c>
      <c r="D322" s="1013">
        <v>850.82</v>
      </c>
    </row>
    <row r="323" spans="1:4" s="894" customFormat="1" x14ac:dyDescent="0.35">
      <c r="A323" s="642"/>
      <c r="B323" s="854"/>
      <c r="C323" s="642"/>
      <c r="D323" s="1013">
        <f>SUM(D322)</f>
        <v>850.82</v>
      </c>
    </row>
    <row r="324" spans="1:4" s="894" customFormat="1" x14ac:dyDescent="0.35">
      <c r="B324" s="853"/>
      <c r="D324" s="916"/>
    </row>
    <row r="325" spans="1:4" x14ac:dyDescent="0.35">
      <c r="A325" s="642" t="s">
        <v>768</v>
      </c>
      <c r="B325" s="854">
        <v>44742</v>
      </c>
      <c r="C325" s="642" t="s">
        <v>719</v>
      </c>
      <c r="D325" s="1013">
        <v>7630.91</v>
      </c>
    </row>
    <row r="326" spans="1:4" x14ac:dyDescent="0.35">
      <c r="A326" s="642" t="s">
        <v>768</v>
      </c>
      <c r="B326" s="854">
        <v>44742</v>
      </c>
      <c r="C326" s="642" t="s">
        <v>714</v>
      </c>
      <c r="D326" s="1013">
        <v>103994.9</v>
      </c>
    </row>
    <row r="327" spans="1:4" x14ac:dyDescent="0.35">
      <c r="A327" s="642" t="s">
        <v>768</v>
      </c>
      <c r="B327" s="854">
        <v>44742</v>
      </c>
      <c r="C327" s="642" t="s">
        <v>713</v>
      </c>
      <c r="D327" s="1013">
        <v>1115.5</v>
      </c>
    </row>
    <row r="328" spans="1:4" x14ac:dyDescent="0.35">
      <c r="A328" s="642" t="s">
        <v>768</v>
      </c>
      <c r="B328" s="854">
        <v>44742</v>
      </c>
      <c r="C328" s="642" t="s">
        <v>712</v>
      </c>
      <c r="D328" s="1013">
        <v>1065.4000000000001</v>
      </c>
    </row>
    <row r="329" spans="1:4" x14ac:dyDescent="0.35">
      <c r="A329" s="642" t="s">
        <v>768</v>
      </c>
      <c r="B329" s="854">
        <v>44742</v>
      </c>
      <c r="C329" s="642" t="s">
        <v>707</v>
      </c>
      <c r="D329" s="1013">
        <v>169204</v>
      </c>
    </row>
    <row r="330" spans="1:4" s="894" customFormat="1" x14ac:dyDescent="0.35">
      <c r="A330" s="642"/>
      <c r="B330" s="854"/>
      <c r="C330" s="642"/>
      <c r="D330" s="1013">
        <f>SUM(D325:D329)</f>
        <v>283010.70999999996</v>
      </c>
    </row>
    <row r="331" spans="1:4" x14ac:dyDescent="0.35">
      <c r="A331" s="894" t="s">
        <v>665</v>
      </c>
      <c r="D331" s="916">
        <f>SUM(D330,D323,D320,D316,D309,D301,D297,D290,D287,D284,D275,D272,D265,D258,D249,D244,D240,D233,D226,D220,D216,D211,D206,D199,D193,D186,D180,D175,D169,D162,D158,D152,D147,D140,D137,D131,D126,D118,D107,D99,D92,D84,D79,D74,D66,D59,D51,D42,D36,D26,D19,D13,D6,D3)</f>
        <v>85016960.320000008</v>
      </c>
    </row>
  </sheetData>
  <sortState xmlns:xlrd2="http://schemas.microsoft.com/office/spreadsheetml/2017/richdata2" ref="A2:D329">
    <sortCondition ref="A1:A329"/>
  </sortState>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6E998-258D-4814-AE6C-958CAA7C2A64}">
  <dimension ref="A1:F342"/>
  <sheetViews>
    <sheetView topLeftCell="A45" workbookViewId="0">
      <selection activeCell="D52" sqref="D52"/>
    </sheetView>
  </sheetViews>
  <sheetFormatPr defaultRowHeight="14.5" x14ac:dyDescent="0.35"/>
  <cols>
    <col min="1" max="1" width="56.81640625" style="894" bestFit="1" customWidth="1"/>
    <col min="2" max="2" width="9.453125" style="894" bestFit="1" customWidth="1"/>
    <col min="3" max="3" width="8.90625" style="894"/>
    <col min="4" max="4" width="17.36328125" style="916" customWidth="1"/>
    <col min="6" max="6" width="13.453125" bestFit="1" customWidth="1"/>
  </cols>
  <sheetData>
    <row r="1" spans="1:4" x14ac:dyDescent="0.35">
      <c r="A1" s="683" t="s">
        <v>1</v>
      </c>
      <c r="B1" s="683" t="s">
        <v>704</v>
      </c>
      <c r="C1" s="683" t="s">
        <v>705</v>
      </c>
      <c r="D1" s="917" t="s">
        <v>588</v>
      </c>
    </row>
    <row r="2" spans="1:4" x14ac:dyDescent="0.35">
      <c r="A2" s="642" t="s">
        <v>706</v>
      </c>
      <c r="B2" s="854">
        <v>44773</v>
      </c>
      <c r="C2" s="642" t="s">
        <v>707</v>
      </c>
      <c r="D2" s="1013">
        <v>8553</v>
      </c>
    </row>
    <row r="3" spans="1:4" s="894" customFormat="1" x14ac:dyDescent="0.35">
      <c r="A3" s="1018" t="s">
        <v>769</v>
      </c>
      <c r="B3" s="1019"/>
      <c r="C3" s="1018"/>
      <c r="D3" s="1020">
        <f>SUM(D2)</f>
        <v>8553</v>
      </c>
    </row>
    <row r="4" spans="1:4" s="894" customFormat="1" x14ac:dyDescent="0.35">
      <c r="B4" s="853"/>
      <c r="D4" s="916"/>
    </row>
    <row r="5" spans="1:4" x14ac:dyDescent="0.35">
      <c r="A5" s="642" t="s">
        <v>708</v>
      </c>
      <c r="B5" s="854">
        <v>44773</v>
      </c>
      <c r="C5" s="642" t="s">
        <v>719</v>
      </c>
      <c r="D5" s="1013">
        <v>4413.08</v>
      </c>
    </row>
    <row r="6" spans="1:4" s="894" customFormat="1" x14ac:dyDescent="0.35">
      <c r="A6" s="1018" t="s">
        <v>769</v>
      </c>
      <c r="B6" s="1019"/>
      <c r="C6" s="1018"/>
      <c r="D6" s="1020">
        <f>SUM(D5)</f>
        <v>4413.08</v>
      </c>
    </row>
    <row r="7" spans="1:4" s="894" customFormat="1" x14ac:dyDescent="0.35">
      <c r="B7" s="853"/>
      <c r="D7" s="916"/>
    </row>
    <row r="8" spans="1:4" x14ac:dyDescent="0.35">
      <c r="A8" s="642" t="s">
        <v>711</v>
      </c>
      <c r="B8" s="854">
        <v>44773</v>
      </c>
      <c r="C8" s="642" t="s">
        <v>714</v>
      </c>
      <c r="D8" s="1013">
        <v>2767367.2</v>
      </c>
    </row>
    <row r="9" spans="1:4" x14ac:dyDescent="0.35">
      <c r="A9" s="642" t="s">
        <v>711</v>
      </c>
      <c r="B9" s="854">
        <v>44773</v>
      </c>
      <c r="C9" s="642" t="s">
        <v>712</v>
      </c>
      <c r="D9" s="1013">
        <v>3374</v>
      </c>
    </row>
    <row r="10" spans="1:4" x14ac:dyDescent="0.35">
      <c r="A10" s="642" t="s">
        <v>711</v>
      </c>
      <c r="B10" s="854">
        <v>44773</v>
      </c>
      <c r="C10" s="642" t="s">
        <v>713</v>
      </c>
      <c r="D10" s="1013">
        <v>58379.8</v>
      </c>
    </row>
    <row r="11" spans="1:4" x14ac:dyDescent="0.35">
      <c r="A11" s="642" t="s">
        <v>711</v>
      </c>
      <c r="B11" s="854">
        <v>44773</v>
      </c>
      <c r="C11" s="642" t="s">
        <v>709</v>
      </c>
      <c r="D11" s="1013">
        <v>47060.2</v>
      </c>
    </row>
    <row r="12" spans="1:4" x14ac:dyDescent="0.35">
      <c r="A12" s="642" t="s">
        <v>711</v>
      </c>
      <c r="B12" s="854">
        <v>44773</v>
      </c>
      <c r="C12" s="642" t="s">
        <v>707</v>
      </c>
      <c r="D12" s="1013">
        <v>6945572</v>
      </c>
    </row>
    <row r="13" spans="1:4" s="894" customFormat="1" x14ac:dyDescent="0.35">
      <c r="A13" s="1018" t="s">
        <v>769</v>
      </c>
      <c r="B13" s="1019"/>
      <c r="C13" s="1018"/>
      <c r="D13" s="1020">
        <f>SUM(D8:D12)</f>
        <v>9821753.1999999993</v>
      </c>
    </row>
    <row r="14" spans="1:4" s="894" customFormat="1" x14ac:dyDescent="0.35">
      <c r="A14" s="642"/>
      <c r="B14" s="854"/>
      <c r="C14" s="642"/>
      <c r="D14" s="1013"/>
    </row>
    <row r="15" spans="1:4" x14ac:dyDescent="0.35">
      <c r="A15" s="642" t="s">
        <v>715</v>
      </c>
      <c r="B15" s="854">
        <v>44773</v>
      </c>
      <c r="C15" s="642" t="s">
        <v>709</v>
      </c>
      <c r="D15" s="1013">
        <v>246711.12</v>
      </c>
    </row>
    <row r="16" spans="1:4" x14ac:dyDescent="0.35">
      <c r="A16" s="642" t="s">
        <v>715</v>
      </c>
      <c r="B16" s="854">
        <v>44773</v>
      </c>
      <c r="C16" s="642" t="s">
        <v>713</v>
      </c>
      <c r="D16" s="1013">
        <v>2090.1999999999998</v>
      </c>
    </row>
    <row r="17" spans="1:4" x14ac:dyDescent="0.35">
      <c r="A17" s="642" t="s">
        <v>715</v>
      </c>
      <c r="B17" s="854">
        <v>44773</v>
      </c>
      <c r="C17" s="642" t="s">
        <v>712</v>
      </c>
      <c r="D17" s="1013">
        <v>204.9</v>
      </c>
    </row>
    <row r="18" spans="1:4" x14ac:dyDescent="0.35">
      <c r="A18" s="642" t="s">
        <v>715</v>
      </c>
      <c r="B18" s="854">
        <v>44773</v>
      </c>
      <c r="C18" s="642" t="s">
        <v>707</v>
      </c>
      <c r="D18" s="1013">
        <v>545565</v>
      </c>
    </row>
    <row r="19" spans="1:4" x14ac:dyDescent="0.35">
      <c r="A19" s="642" t="s">
        <v>715</v>
      </c>
      <c r="B19" s="854">
        <v>44773</v>
      </c>
      <c r="C19" s="642" t="s">
        <v>714</v>
      </c>
      <c r="D19" s="1013">
        <v>223912</v>
      </c>
    </row>
    <row r="20" spans="1:4" s="894" customFormat="1" x14ac:dyDescent="0.35">
      <c r="A20" s="1018" t="s">
        <v>769</v>
      </c>
      <c r="B20" s="1019"/>
      <c r="C20" s="1018"/>
      <c r="D20" s="1020">
        <f>SUM(D15:D19)</f>
        <v>1018483.22</v>
      </c>
    </row>
    <row r="21" spans="1:4" s="894" customFormat="1" x14ac:dyDescent="0.35">
      <c r="B21" s="853"/>
      <c r="D21" s="916"/>
    </row>
    <row r="22" spans="1:4" x14ac:dyDescent="0.35">
      <c r="A22" s="642" t="s">
        <v>716</v>
      </c>
      <c r="B22" s="854">
        <v>44773</v>
      </c>
      <c r="C22" s="642" t="s">
        <v>709</v>
      </c>
      <c r="D22" s="1013">
        <v>50508.57</v>
      </c>
    </row>
    <row r="23" spans="1:4" x14ac:dyDescent="0.35">
      <c r="A23" s="642" t="s">
        <v>716</v>
      </c>
      <c r="B23" s="854">
        <v>44773</v>
      </c>
      <c r="C23" s="642" t="s">
        <v>707</v>
      </c>
      <c r="D23" s="1013">
        <v>547364</v>
      </c>
    </row>
    <row r="24" spans="1:4" x14ac:dyDescent="0.35">
      <c r="A24" s="642" t="s">
        <v>716</v>
      </c>
      <c r="B24" s="854">
        <v>44773</v>
      </c>
      <c r="C24" s="642" t="s">
        <v>713</v>
      </c>
      <c r="D24" s="1013">
        <v>2657.2</v>
      </c>
    </row>
    <row r="25" spans="1:4" x14ac:dyDescent="0.35">
      <c r="A25" s="642" t="s">
        <v>716</v>
      </c>
      <c r="B25" s="854">
        <v>44773</v>
      </c>
      <c r="C25" s="642" t="s">
        <v>712</v>
      </c>
      <c r="D25" s="1013">
        <v>55</v>
      </c>
    </row>
    <row r="26" spans="1:4" x14ac:dyDescent="0.35">
      <c r="A26" s="642" t="s">
        <v>716</v>
      </c>
      <c r="B26" s="854">
        <v>44773</v>
      </c>
      <c r="C26" s="642" t="s">
        <v>714</v>
      </c>
      <c r="D26" s="1013">
        <v>219056.7</v>
      </c>
    </row>
    <row r="27" spans="1:4" s="894" customFormat="1" x14ac:dyDescent="0.35">
      <c r="A27" s="1018" t="s">
        <v>769</v>
      </c>
      <c r="B27" s="1019"/>
      <c r="C27" s="1018"/>
      <c r="D27" s="1020">
        <f>SUM(D22:D26)</f>
        <v>819641.47</v>
      </c>
    </row>
    <row r="28" spans="1:4" s="894" customFormat="1" x14ac:dyDescent="0.35">
      <c r="B28" s="853"/>
      <c r="D28" s="916"/>
    </row>
    <row r="29" spans="1:4" x14ac:dyDescent="0.35">
      <c r="A29" s="642" t="s">
        <v>717</v>
      </c>
      <c r="B29" s="854">
        <v>44773</v>
      </c>
      <c r="C29" s="642" t="s">
        <v>718</v>
      </c>
      <c r="D29" s="1013">
        <v>-960205</v>
      </c>
    </row>
    <row r="30" spans="1:4" x14ac:dyDescent="0.35">
      <c r="A30" s="642" t="s">
        <v>717</v>
      </c>
      <c r="B30" s="854">
        <v>44773</v>
      </c>
      <c r="C30" s="642" t="s">
        <v>714</v>
      </c>
      <c r="D30" s="1013">
        <v>1338738.5</v>
      </c>
    </row>
    <row r="31" spans="1:4" x14ac:dyDescent="0.35">
      <c r="A31" s="642" t="s">
        <v>717</v>
      </c>
      <c r="B31" s="854">
        <v>44773</v>
      </c>
      <c r="C31" s="642" t="s">
        <v>710</v>
      </c>
      <c r="D31" s="1013">
        <v>7520.03</v>
      </c>
    </row>
    <row r="32" spans="1:4" x14ac:dyDescent="0.35">
      <c r="A32" s="642" t="s">
        <v>717</v>
      </c>
      <c r="B32" s="854">
        <v>44773</v>
      </c>
      <c r="C32" s="642" t="s">
        <v>719</v>
      </c>
      <c r="D32" s="1013">
        <v>6432.94</v>
      </c>
    </row>
    <row r="33" spans="1:4" x14ac:dyDescent="0.35">
      <c r="A33" s="642" t="s">
        <v>717</v>
      </c>
      <c r="B33" s="854">
        <v>44773</v>
      </c>
      <c r="C33" s="642" t="s">
        <v>707</v>
      </c>
      <c r="D33" s="1013">
        <v>6394711</v>
      </c>
    </row>
    <row r="34" spans="1:4" x14ac:dyDescent="0.35">
      <c r="A34" s="642" t="s">
        <v>717</v>
      </c>
      <c r="B34" s="854">
        <v>44773</v>
      </c>
      <c r="C34" s="642" t="s">
        <v>712</v>
      </c>
      <c r="D34" s="1013">
        <v>181014.6</v>
      </c>
    </row>
    <row r="35" spans="1:4" x14ac:dyDescent="0.35">
      <c r="A35" s="642" t="s">
        <v>717</v>
      </c>
      <c r="B35" s="854">
        <v>44773</v>
      </c>
      <c r="C35" s="642" t="s">
        <v>713</v>
      </c>
      <c r="D35" s="1013">
        <v>30246.7</v>
      </c>
    </row>
    <row r="36" spans="1:4" x14ac:dyDescent="0.35">
      <c r="A36" s="642" t="s">
        <v>717</v>
      </c>
      <c r="B36" s="854">
        <v>44773</v>
      </c>
      <c r="C36" s="642" t="s">
        <v>709</v>
      </c>
      <c r="D36" s="1013">
        <v>704833.88</v>
      </c>
    </row>
    <row r="37" spans="1:4" s="894" customFormat="1" x14ac:dyDescent="0.35">
      <c r="A37" s="1018" t="s">
        <v>769</v>
      </c>
      <c r="B37" s="1019"/>
      <c r="C37" s="1018"/>
      <c r="D37" s="1020">
        <f>SUM(D29:D36)</f>
        <v>7703292.6499999994</v>
      </c>
    </row>
    <row r="38" spans="1:4" s="894" customFormat="1" x14ac:dyDescent="0.35">
      <c r="B38" s="853"/>
      <c r="D38" s="916"/>
    </row>
    <row r="39" spans="1:4" x14ac:dyDescent="0.35">
      <c r="A39" s="642" t="s">
        <v>720</v>
      </c>
      <c r="B39" s="854">
        <v>44773</v>
      </c>
      <c r="C39" s="642" t="s">
        <v>713</v>
      </c>
      <c r="D39" s="1013">
        <v>2041</v>
      </c>
    </row>
    <row r="40" spans="1:4" x14ac:dyDescent="0.35">
      <c r="A40" s="642" t="s">
        <v>720</v>
      </c>
      <c r="B40" s="854">
        <v>44773</v>
      </c>
      <c r="C40" s="642" t="s">
        <v>709</v>
      </c>
      <c r="D40" s="1013">
        <v>304733.73</v>
      </c>
    </row>
    <row r="41" spans="1:4" x14ac:dyDescent="0.35">
      <c r="A41" s="642" t="s">
        <v>720</v>
      </c>
      <c r="B41" s="854">
        <v>44773</v>
      </c>
      <c r="C41" s="642" t="s">
        <v>707</v>
      </c>
      <c r="D41" s="1013">
        <v>165072</v>
      </c>
    </row>
    <row r="42" spans="1:4" x14ac:dyDescent="0.35">
      <c r="A42" s="642" t="s">
        <v>720</v>
      </c>
      <c r="B42" s="854">
        <v>44773</v>
      </c>
      <c r="C42" s="642" t="s">
        <v>714</v>
      </c>
      <c r="D42" s="1013">
        <v>106258.8</v>
      </c>
    </row>
    <row r="43" spans="1:4" x14ac:dyDescent="0.35">
      <c r="A43" s="642" t="s">
        <v>720</v>
      </c>
      <c r="B43" s="854">
        <v>44773</v>
      </c>
      <c r="C43" s="642" t="s">
        <v>712</v>
      </c>
      <c r="D43" s="1013">
        <v>150</v>
      </c>
    </row>
    <row r="44" spans="1:4" s="894" customFormat="1" x14ac:dyDescent="0.35">
      <c r="A44" s="1018" t="s">
        <v>769</v>
      </c>
      <c r="B44" s="1019"/>
      <c r="C44" s="1018"/>
      <c r="D44" s="1020">
        <f>SUM(D39:D43)</f>
        <v>578255.53</v>
      </c>
    </row>
    <row r="45" spans="1:4" s="894" customFormat="1" x14ac:dyDescent="0.35">
      <c r="B45" s="853"/>
      <c r="D45" s="916"/>
    </row>
    <row r="46" spans="1:4" x14ac:dyDescent="0.35">
      <c r="A46" s="894" t="s">
        <v>721</v>
      </c>
      <c r="B46" s="853">
        <v>44773</v>
      </c>
      <c r="C46" s="894" t="s">
        <v>714</v>
      </c>
      <c r="D46" s="916">
        <v>321074.40000000002</v>
      </c>
    </row>
    <row r="47" spans="1:4" x14ac:dyDescent="0.35">
      <c r="A47" s="894" t="s">
        <v>721</v>
      </c>
      <c r="B47" s="853">
        <v>44773</v>
      </c>
      <c r="C47" s="894" t="s">
        <v>713</v>
      </c>
      <c r="D47" s="916">
        <v>4271.1000000000004</v>
      </c>
    </row>
    <row r="48" spans="1:4" x14ac:dyDescent="0.35">
      <c r="A48" s="894" t="s">
        <v>721</v>
      </c>
      <c r="B48" s="853">
        <v>44773</v>
      </c>
      <c r="C48" s="894" t="s">
        <v>712</v>
      </c>
      <c r="D48" s="916">
        <v>11363.2</v>
      </c>
    </row>
    <row r="49" spans="1:4" x14ac:dyDescent="0.35">
      <c r="A49" s="894" t="s">
        <v>721</v>
      </c>
      <c r="B49" s="853">
        <v>44773</v>
      </c>
      <c r="C49" s="894" t="s">
        <v>707</v>
      </c>
      <c r="D49" s="916">
        <v>0</v>
      </c>
    </row>
    <row r="50" spans="1:4" x14ac:dyDescent="0.35">
      <c r="A50" s="894" t="s">
        <v>721</v>
      </c>
      <c r="B50" s="853">
        <v>44773</v>
      </c>
      <c r="C50" s="894" t="s">
        <v>709</v>
      </c>
      <c r="D50" s="916">
        <v>0</v>
      </c>
    </row>
    <row r="51" spans="1:4" x14ac:dyDescent="0.35">
      <c r="A51" s="894" t="s">
        <v>721</v>
      </c>
      <c r="B51" s="853">
        <v>44773</v>
      </c>
      <c r="C51" s="894" t="s">
        <v>719</v>
      </c>
      <c r="D51" s="916">
        <v>0</v>
      </c>
    </row>
    <row r="52" spans="1:4" s="894" customFormat="1" x14ac:dyDescent="0.35">
      <c r="A52" s="683" t="s">
        <v>769</v>
      </c>
      <c r="B52" s="1017"/>
      <c r="C52" s="683"/>
      <c r="D52" s="917">
        <f>SUM(D46:D51)</f>
        <v>336708.7</v>
      </c>
    </row>
    <row r="53" spans="1:4" s="894" customFormat="1" x14ac:dyDescent="0.35">
      <c r="B53" s="853"/>
      <c r="D53" s="916"/>
    </row>
    <row r="54" spans="1:4" x14ac:dyDescent="0.35">
      <c r="A54" s="642" t="s">
        <v>723</v>
      </c>
      <c r="B54" s="854">
        <v>44773</v>
      </c>
      <c r="C54" s="642" t="s">
        <v>724</v>
      </c>
      <c r="D54" s="1013">
        <v>41504.18</v>
      </c>
    </row>
    <row r="55" spans="1:4" x14ac:dyDescent="0.35">
      <c r="A55" s="642" t="s">
        <v>723</v>
      </c>
      <c r="B55" s="854">
        <v>44773</v>
      </c>
      <c r="C55" s="642" t="s">
        <v>714</v>
      </c>
      <c r="D55" s="1013">
        <v>4786997.0999999996</v>
      </c>
    </row>
    <row r="56" spans="1:4" x14ac:dyDescent="0.35">
      <c r="A56" s="642" t="s">
        <v>723</v>
      </c>
      <c r="B56" s="854">
        <v>44773</v>
      </c>
      <c r="C56" s="642" t="s">
        <v>770</v>
      </c>
      <c r="D56" s="1013">
        <v>0</v>
      </c>
    </row>
    <row r="57" spans="1:4" x14ac:dyDescent="0.35">
      <c r="A57" s="642" t="s">
        <v>723</v>
      </c>
      <c r="B57" s="854">
        <v>44773</v>
      </c>
      <c r="C57" s="642" t="s">
        <v>712</v>
      </c>
      <c r="D57" s="1013">
        <v>10925.2</v>
      </c>
    </row>
    <row r="58" spans="1:4" x14ac:dyDescent="0.35">
      <c r="A58" s="642" t="s">
        <v>723</v>
      </c>
      <c r="B58" s="854">
        <v>44773</v>
      </c>
      <c r="C58" s="642" t="s">
        <v>707</v>
      </c>
      <c r="D58" s="1013">
        <v>12891788.92</v>
      </c>
    </row>
    <row r="59" spans="1:4" x14ac:dyDescent="0.35">
      <c r="A59" s="642" t="s">
        <v>723</v>
      </c>
      <c r="B59" s="854">
        <v>44773</v>
      </c>
      <c r="C59" s="642" t="s">
        <v>719</v>
      </c>
      <c r="D59" s="1013">
        <v>2102.35</v>
      </c>
    </row>
    <row r="60" spans="1:4" x14ac:dyDescent="0.35">
      <c r="A60" s="642" t="s">
        <v>723</v>
      </c>
      <c r="B60" s="854">
        <v>44773</v>
      </c>
      <c r="C60" s="642" t="s">
        <v>709</v>
      </c>
      <c r="D60" s="1013">
        <v>1379878.07</v>
      </c>
    </row>
    <row r="61" spans="1:4" x14ac:dyDescent="0.35">
      <c r="A61" s="642" t="s">
        <v>723</v>
      </c>
      <c r="B61" s="854">
        <v>44773</v>
      </c>
      <c r="C61" s="642" t="s">
        <v>713</v>
      </c>
      <c r="D61" s="1013">
        <v>73237.2</v>
      </c>
    </row>
    <row r="62" spans="1:4" s="894" customFormat="1" x14ac:dyDescent="0.35">
      <c r="A62" s="1018" t="s">
        <v>769</v>
      </c>
      <c r="B62" s="1019"/>
      <c r="C62" s="1018"/>
      <c r="D62" s="1020">
        <f>SUM(D54:D61)</f>
        <v>19186433.02</v>
      </c>
    </row>
    <row r="63" spans="1:4" s="894" customFormat="1" x14ac:dyDescent="0.35">
      <c r="B63" s="853"/>
      <c r="D63" s="916"/>
    </row>
    <row r="64" spans="1:4" x14ac:dyDescent="0.35">
      <c r="A64" s="642" t="s">
        <v>725</v>
      </c>
      <c r="B64" s="854">
        <v>44773</v>
      </c>
      <c r="C64" s="642" t="s">
        <v>713</v>
      </c>
      <c r="D64" s="1013">
        <v>6602.2</v>
      </c>
    </row>
    <row r="65" spans="1:4" x14ac:dyDescent="0.35">
      <c r="A65" s="642" t="s">
        <v>725</v>
      </c>
      <c r="B65" s="854">
        <v>44773</v>
      </c>
      <c r="C65" s="642" t="s">
        <v>707</v>
      </c>
      <c r="D65" s="1013">
        <v>150837</v>
      </c>
    </row>
    <row r="66" spans="1:4" x14ac:dyDescent="0.35">
      <c r="A66" s="642" t="s">
        <v>725</v>
      </c>
      <c r="B66" s="854">
        <v>44773</v>
      </c>
      <c r="C66" s="642" t="s">
        <v>709</v>
      </c>
      <c r="D66" s="1013">
        <v>1256069.83</v>
      </c>
    </row>
    <row r="67" spans="1:4" x14ac:dyDescent="0.35">
      <c r="A67" s="642" t="s">
        <v>725</v>
      </c>
      <c r="B67" s="854">
        <v>44773</v>
      </c>
      <c r="C67" s="642" t="s">
        <v>714</v>
      </c>
      <c r="D67" s="1013">
        <v>468072.2</v>
      </c>
    </row>
    <row r="68" spans="1:4" x14ac:dyDescent="0.35">
      <c r="A68" s="642" t="s">
        <v>725</v>
      </c>
      <c r="B68" s="854">
        <v>44773</v>
      </c>
      <c r="C68" s="642" t="s">
        <v>712</v>
      </c>
      <c r="D68" s="1013">
        <v>697.3</v>
      </c>
    </row>
    <row r="69" spans="1:4" s="894" customFormat="1" x14ac:dyDescent="0.35">
      <c r="A69" s="1018" t="s">
        <v>769</v>
      </c>
      <c r="B69" s="1019"/>
      <c r="C69" s="1018"/>
      <c r="D69" s="1020">
        <f>SUM(D64:D68)</f>
        <v>1882278.53</v>
      </c>
    </row>
    <row r="70" spans="1:4" s="894" customFormat="1" x14ac:dyDescent="0.35">
      <c r="B70" s="853"/>
      <c r="D70" s="916"/>
    </row>
    <row r="71" spans="1:4" x14ac:dyDescent="0.35">
      <c r="A71" s="642" t="s">
        <v>726</v>
      </c>
      <c r="B71" s="854">
        <v>44773</v>
      </c>
      <c r="C71" s="642" t="s">
        <v>714</v>
      </c>
      <c r="D71" s="1013">
        <v>1110405.5</v>
      </c>
    </row>
    <row r="72" spans="1:4" x14ac:dyDescent="0.35">
      <c r="A72" s="642" t="s">
        <v>726</v>
      </c>
      <c r="B72" s="854">
        <v>44773</v>
      </c>
      <c r="C72" s="642" t="s">
        <v>719</v>
      </c>
      <c r="D72" s="1013">
        <v>77233.3</v>
      </c>
    </row>
    <row r="73" spans="1:4" x14ac:dyDescent="0.35">
      <c r="A73" s="642" t="s">
        <v>726</v>
      </c>
      <c r="B73" s="854">
        <v>44773</v>
      </c>
      <c r="C73" s="642" t="s">
        <v>707</v>
      </c>
      <c r="D73" s="1013">
        <v>2216596</v>
      </c>
    </row>
    <row r="74" spans="1:4" x14ac:dyDescent="0.35">
      <c r="A74" s="642" t="s">
        <v>726</v>
      </c>
      <c r="B74" s="854">
        <v>44773</v>
      </c>
      <c r="C74" s="642" t="s">
        <v>713</v>
      </c>
      <c r="D74" s="1013">
        <v>18399.400000000001</v>
      </c>
    </row>
    <row r="75" spans="1:4" x14ac:dyDescent="0.35">
      <c r="A75" s="642" t="s">
        <v>726</v>
      </c>
      <c r="B75" s="854">
        <v>44773</v>
      </c>
      <c r="C75" s="642" t="s">
        <v>709</v>
      </c>
      <c r="D75" s="1013">
        <v>674789.53</v>
      </c>
    </row>
    <row r="76" spans="1:4" x14ac:dyDescent="0.35">
      <c r="A76" s="642" t="s">
        <v>726</v>
      </c>
      <c r="B76" s="854">
        <v>44773</v>
      </c>
      <c r="C76" s="642" t="s">
        <v>712</v>
      </c>
      <c r="D76" s="1013">
        <v>4838.7</v>
      </c>
    </row>
    <row r="77" spans="1:4" s="894" customFormat="1" x14ac:dyDescent="0.35">
      <c r="A77" s="1018" t="s">
        <v>769</v>
      </c>
      <c r="B77" s="1019"/>
      <c r="C77" s="1018"/>
      <c r="D77" s="1020">
        <f>SUM(D71:D76)</f>
        <v>4102262.4299999997</v>
      </c>
    </row>
    <row r="78" spans="1:4" s="894" customFormat="1" x14ac:dyDescent="0.35">
      <c r="B78" s="853"/>
      <c r="D78" s="916"/>
    </row>
    <row r="79" spans="1:4" x14ac:dyDescent="0.35">
      <c r="A79" s="642" t="s">
        <v>45</v>
      </c>
      <c r="B79" s="854">
        <v>44773</v>
      </c>
      <c r="C79" s="642" t="s">
        <v>713</v>
      </c>
      <c r="D79" s="1013">
        <v>428</v>
      </c>
    </row>
    <row r="80" spans="1:4" x14ac:dyDescent="0.35">
      <c r="A80" s="642" t="s">
        <v>45</v>
      </c>
      <c r="B80" s="854">
        <v>44773</v>
      </c>
      <c r="C80" s="642" t="s">
        <v>714</v>
      </c>
      <c r="D80" s="1013">
        <v>26676.6</v>
      </c>
    </row>
    <row r="81" spans="1:4" x14ac:dyDescent="0.35">
      <c r="A81" s="642" t="s">
        <v>45</v>
      </c>
      <c r="B81" s="854">
        <v>44773</v>
      </c>
      <c r="C81" s="642" t="s">
        <v>709</v>
      </c>
      <c r="D81" s="1013">
        <v>66943.490000000005</v>
      </c>
    </row>
    <row r="82" spans="1:4" s="894" customFormat="1" x14ac:dyDescent="0.35">
      <c r="A82" s="1018" t="s">
        <v>769</v>
      </c>
      <c r="B82" s="1019"/>
      <c r="C82" s="1018"/>
      <c r="D82" s="1020">
        <f>SUM(D79:D81)</f>
        <v>94048.09</v>
      </c>
    </row>
    <row r="83" spans="1:4" s="894" customFormat="1" x14ac:dyDescent="0.35">
      <c r="A83" s="683"/>
      <c r="B83" s="1017"/>
      <c r="C83" s="683"/>
      <c r="D83" s="917"/>
    </row>
    <row r="84" spans="1:4" x14ac:dyDescent="0.35">
      <c r="A84" s="642" t="s">
        <v>727</v>
      </c>
      <c r="B84" s="854">
        <v>44773</v>
      </c>
      <c r="C84" s="642" t="s">
        <v>707</v>
      </c>
      <c r="D84" s="1013">
        <v>45993</v>
      </c>
    </row>
    <row r="85" spans="1:4" x14ac:dyDescent="0.35">
      <c r="A85" s="642" t="s">
        <v>727</v>
      </c>
      <c r="B85" s="854">
        <v>44773</v>
      </c>
      <c r="C85" s="642" t="s">
        <v>714</v>
      </c>
      <c r="D85" s="1013">
        <v>9565.9</v>
      </c>
    </row>
    <row r="86" spans="1:4" x14ac:dyDescent="0.35">
      <c r="A86" s="642" t="s">
        <v>727</v>
      </c>
      <c r="B86" s="854">
        <v>44773</v>
      </c>
      <c r="C86" s="642" t="s">
        <v>712</v>
      </c>
      <c r="D86" s="1013">
        <v>160</v>
      </c>
    </row>
    <row r="87" spans="1:4" x14ac:dyDescent="0.35">
      <c r="A87" s="642" t="s">
        <v>727</v>
      </c>
      <c r="B87" s="854">
        <v>44773</v>
      </c>
      <c r="C87" s="642" t="s">
        <v>713</v>
      </c>
      <c r="D87" s="1013">
        <v>12.5</v>
      </c>
    </row>
    <row r="88" spans="1:4" s="894" customFormat="1" x14ac:dyDescent="0.35">
      <c r="A88" s="1018" t="s">
        <v>769</v>
      </c>
      <c r="B88" s="1019"/>
      <c r="C88" s="1018"/>
      <c r="D88" s="1020">
        <f>SUM(D84:D87)</f>
        <v>55731.4</v>
      </c>
    </row>
    <row r="89" spans="1:4" s="894" customFormat="1" x14ac:dyDescent="0.35">
      <c r="B89" s="853"/>
      <c r="D89" s="916"/>
    </row>
    <row r="90" spans="1:4" x14ac:dyDescent="0.35">
      <c r="A90" s="642" t="s">
        <v>728</v>
      </c>
      <c r="B90" s="854">
        <v>44773</v>
      </c>
      <c r="C90" s="642" t="s">
        <v>714</v>
      </c>
      <c r="D90" s="1013">
        <v>329295</v>
      </c>
    </row>
    <row r="91" spans="1:4" x14ac:dyDescent="0.35">
      <c r="A91" s="642" t="s">
        <v>728</v>
      </c>
      <c r="B91" s="854">
        <v>44773</v>
      </c>
      <c r="C91" s="642" t="s">
        <v>707</v>
      </c>
      <c r="D91" s="1013">
        <v>712150</v>
      </c>
    </row>
    <row r="92" spans="1:4" x14ac:dyDescent="0.35">
      <c r="A92" s="642" t="s">
        <v>728</v>
      </c>
      <c r="B92" s="854">
        <v>44773</v>
      </c>
      <c r="C92" s="642" t="s">
        <v>712</v>
      </c>
      <c r="D92" s="1013">
        <v>391</v>
      </c>
    </row>
    <row r="93" spans="1:4" x14ac:dyDescent="0.35">
      <c r="A93" s="642" t="s">
        <v>728</v>
      </c>
      <c r="B93" s="854">
        <v>44773</v>
      </c>
      <c r="C93" s="642" t="s">
        <v>713</v>
      </c>
      <c r="D93" s="1013">
        <v>4104.7</v>
      </c>
    </row>
    <row r="94" spans="1:4" x14ac:dyDescent="0.35">
      <c r="A94" s="642" t="s">
        <v>728</v>
      </c>
      <c r="B94" s="854">
        <v>44773</v>
      </c>
      <c r="C94" s="642" t="s">
        <v>719</v>
      </c>
      <c r="D94" s="1013">
        <v>37491.300000000003</v>
      </c>
    </row>
    <row r="95" spans="1:4" x14ac:dyDescent="0.35">
      <c r="A95" s="642" t="s">
        <v>728</v>
      </c>
      <c r="B95" s="854">
        <v>44773</v>
      </c>
      <c r="C95" s="642" t="s">
        <v>709</v>
      </c>
      <c r="D95" s="1013">
        <v>275993.71999999997</v>
      </c>
    </row>
    <row r="96" spans="1:4" x14ac:dyDescent="0.35">
      <c r="A96" s="642" t="s">
        <v>728</v>
      </c>
      <c r="B96" s="854">
        <v>44773</v>
      </c>
      <c r="C96" s="642" t="s">
        <v>760</v>
      </c>
      <c r="D96" s="1013">
        <v>-54709.43</v>
      </c>
    </row>
    <row r="97" spans="1:4" s="894" customFormat="1" x14ac:dyDescent="0.35">
      <c r="A97" s="1018" t="s">
        <v>769</v>
      </c>
      <c r="B97" s="1019"/>
      <c r="C97" s="1018"/>
      <c r="D97" s="1020">
        <f>SUM(D90:D96)</f>
        <v>1304716.29</v>
      </c>
    </row>
    <row r="98" spans="1:4" s="894" customFormat="1" x14ac:dyDescent="0.35">
      <c r="B98" s="853"/>
      <c r="D98" s="916"/>
    </row>
    <row r="99" spans="1:4" x14ac:dyDescent="0.35">
      <c r="A99" s="642" t="s">
        <v>729</v>
      </c>
      <c r="B99" s="854">
        <v>44773</v>
      </c>
      <c r="C99" s="642" t="s">
        <v>713</v>
      </c>
      <c r="D99" s="1013">
        <v>2294.5</v>
      </c>
    </row>
    <row r="100" spans="1:4" x14ac:dyDescent="0.35">
      <c r="A100" s="642" t="s">
        <v>729</v>
      </c>
      <c r="B100" s="854">
        <v>44773</v>
      </c>
      <c r="C100" s="642" t="s">
        <v>707</v>
      </c>
      <c r="D100" s="1013">
        <v>220491</v>
      </c>
    </row>
    <row r="101" spans="1:4" x14ac:dyDescent="0.35">
      <c r="A101" s="642" t="s">
        <v>729</v>
      </c>
      <c r="B101" s="854">
        <v>44773</v>
      </c>
      <c r="C101" s="642" t="s">
        <v>712</v>
      </c>
      <c r="D101" s="1013">
        <v>976.7</v>
      </c>
    </row>
    <row r="102" spans="1:4" x14ac:dyDescent="0.35">
      <c r="A102" s="642" t="s">
        <v>729</v>
      </c>
      <c r="B102" s="854">
        <v>44773</v>
      </c>
      <c r="C102" s="642" t="s">
        <v>714</v>
      </c>
      <c r="D102" s="1013">
        <v>86114.7</v>
      </c>
    </row>
    <row r="103" spans="1:4" s="894" customFormat="1" x14ac:dyDescent="0.35">
      <c r="A103" s="1018" t="s">
        <v>769</v>
      </c>
      <c r="B103" s="1019"/>
      <c r="C103" s="1018"/>
      <c r="D103" s="1020">
        <f>SUM(D99:D102)</f>
        <v>309876.90000000002</v>
      </c>
    </row>
    <row r="104" spans="1:4" s="894" customFormat="1" x14ac:dyDescent="0.35">
      <c r="B104" s="853"/>
      <c r="D104" s="916"/>
    </row>
    <row r="105" spans="1:4" x14ac:dyDescent="0.35">
      <c r="A105" s="642" t="s">
        <v>730</v>
      </c>
      <c r="B105" s="854">
        <v>44773</v>
      </c>
      <c r="C105" s="642" t="s">
        <v>713</v>
      </c>
      <c r="D105" s="1013">
        <v>15886.8</v>
      </c>
    </row>
    <row r="106" spans="1:4" x14ac:dyDescent="0.35">
      <c r="A106" s="642" t="s">
        <v>730</v>
      </c>
      <c r="B106" s="854">
        <v>44773</v>
      </c>
      <c r="C106" s="642" t="s">
        <v>719</v>
      </c>
      <c r="D106" s="1013">
        <v>3172.25</v>
      </c>
    </row>
    <row r="107" spans="1:4" x14ac:dyDescent="0.35">
      <c r="A107" s="642" t="s">
        <v>730</v>
      </c>
      <c r="B107" s="854">
        <v>44773</v>
      </c>
      <c r="C107" s="642" t="s">
        <v>709</v>
      </c>
      <c r="D107" s="1013">
        <v>765036.23</v>
      </c>
    </row>
    <row r="108" spans="1:4" x14ac:dyDescent="0.35">
      <c r="A108" s="642" t="s">
        <v>730</v>
      </c>
      <c r="B108" s="854">
        <v>44773</v>
      </c>
      <c r="C108" s="642" t="s">
        <v>707</v>
      </c>
      <c r="D108" s="1013">
        <v>928181</v>
      </c>
    </row>
    <row r="109" spans="1:4" x14ac:dyDescent="0.35">
      <c r="A109" s="642" t="s">
        <v>730</v>
      </c>
      <c r="B109" s="854">
        <v>44773</v>
      </c>
      <c r="C109" s="642" t="s">
        <v>712</v>
      </c>
      <c r="D109" s="1013">
        <v>1364.8</v>
      </c>
    </row>
    <row r="110" spans="1:4" x14ac:dyDescent="0.35">
      <c r="A110" s="642" t="s">
        <v>730</v>
      </c>
      <c r="B110" s="854">
        <v>44773</v>
      </c>
      <c r="C110" s="642" t="s">
        <v>714</v>
      </c>
      <c r="D110" s="1013">
        <v>647124</v>
      </c>
    </row>
    <row r="111" spans="1:4" s="894" customFormat="1" x14ac:dyDescent="0.35">
      <c r="A111" s="1018" t="s">
        <v>769</v>
      </c>
      <c r="B111" s="1019"/>
      <c r="C111" s="1018"/>
      <c r="D111" s="1020">
        <f>SUM(D105:D110)</f>
        <v>2360765.08</v>
      </c>
    </row>
    <row r="112" spans="1:4" s="894" customFormat="1" x14ac:dyDescent="0.35">
      <c r="B112" s="853"/>
      <c r="D112" s="916"/>
    </row>
    <row r="113" spans="1:4" x14ac:dyDescent="0.35">
      <c r="A113" s="642" t="s">
        <v>731</v>
      </c>
      <c r="B113" s="854">
        <v>44773</v>
      </c>
      <c r="C113" s="642" t="s">
        <v>724</v>
      </c>
      <c r="D113" s="1013">
        <v>0</v>
      </c>
    </row>
    <row r="114" spans="1:4" x14ac:dyDescent="0.35">
      <c r="A114" s="642" t="s">
        <v>731</v>
      </c>
      <c r="B114" s="854">
        <v>44773</v>
      </c>
      <c r="C114" s="642" t="s">
        <v>714</v>
      </c>
      <c r="D114" s="1013">
        <v>1493466.4</v>
      </c>
    </row>
    <row r="115" spans="1:4" x14ac:dyDescent="0.35">
      <c r="A115" s="642" t="s">
        <v>731</v>
      </c>
      <c r="B115" s="854">
        <v>44773</v>
      </c>
      <c r="C115" s="642" t="s">
        <v>710</v>
      </c>
      <c r="D115" s="1013">
        <v>8506.17</v>
      </c>
    </row>
    <row r="116" spans="1:4" x14ac:dyDescent="0.35">
      <c r="A116" s="642" t="s">
        <v>731</v>
      </c>
      <c r="B116" s="854">
        <v>44773</v>
      </c>
      <c r="C116" s="642" t="s">
        <v>707</v>
      </c>
      <c r="D116" s="1013">
        <v>6784385.1600000001</v>
      </c>
    </row>
    <row r="117" spans="1:4" x14ac:dyDescent="0.35">
      <c r="A117" s="642" t="s">
        <v>731</v>
      </c>
      <c r="B117" s="854">
        <v>44773</v>
      </c>
      <c r="C117" s="642" t="s">
        <v>712</v>
      </c>
      <c r="D117" s="1013">
        <v>173699.6</v>
      </c>
    </row>
    <row r="118" spans="1:4" x14ac:dyDescent="0.35">
      <c r="A118" s="642" t="s">
        <v>731</v>
      </c>
      <c r="B118" s="854">
        <v>44773</v>
      </c>
      <c r="C118" s="642" t="s">
        <v>709</v>
      </c>
      <c r="D118" s="1013">
        <v>19728.66</v>
      </c>
    </row>
    <row r="119" spans="1:4" x14ac:dyDescent="0.35">
      <c r="A119" s="642" t="s">
        <v>731</v>
      </c>
      <c r="B119" s="854">
        <v>44773</v>
      </c>
      <c r="C119" s="642" t="s">
        <v>719</v>
      </c>
      <c r="D119" s="1013">
        <v>8657.33</v>
      </c>
    </row>
    <row r="120" spans="1:4" x14ac:dyDescent="0.35">
      <c r="A120" s="642" t="s">
        <v>731</v>
      </c>
      <c r="B120" s="854">
        <v>44773</v>
      </c>
      <c r="C120" s="642" t="s">
        <v>713</v>
      </c>
      <c r="D120" s="1013">
        <v>31012.3</v>
      </c>
    </row>
    <row r="121" spans="1:4" s="894" customFormat="1" x14ac:dyDescent="0.35">
      <c r="A121" s="1018" t="s">
        <v>769</v>
      </c>
      <c r="B121" s="1019"/>
      <c r="C121" s="1018"/>
      <c r="D121" s="1020">
        <f>SUM(D113:D120)</f>
        <v>8519455.620000001</v>
      </c>
    </row>
    <row r="122" spans="1:4" s="894" customFormat="1" x14ac:dyDescent="0.35">
      <c r="B122" s="853"/>
      <c r="D122" s="916"/>
    </row>
    <row r="123" spans="1:4" x14ac:dyDescent="0.35">
      <c r="A123" s="642" t="s">
        <v>732</v>
      </c>
      <c r="B123" s="854">
        <v>44773</v>
      </c>
      <c r="C123" s="642" t="s">
        <v>719</v>
      </c>
      <c r="D123" s="1013">
        <v>3894.66</v>
      </c>
    </row>
    <row r="124" spans="1:4" x14ac:dyDescent="0.35">
      <c r="A124" s="642" t="s">
        <v>732</v>
      </c>
      <c r="B124" s="854">
        <v>44773</v>
      </c>
      <c r="C124" s="642" t="s">
        <v>714</v>
      </c>
      <c r="D124" s="1013">
        <v>181812.6</v>
      </c>
    </row>
    <row r="125" spans="1:4" x14ac:dyDescent="0.35">
      <c r="A125" s="642" t="s">
        <v>732</v>
      </c>
      <c r="B125" s="854">
        <v>44773</v>
      </c>
      <c r="C125" s="642" t="s">
        <v>712</v>
      </c>
      <c r="D125" s="1013">
        <v>440</v>
      </c>
    </row>
    <row r="126" spans="1:4" x14ac:dyDescent="0.35">
      <c r="A126" s="642" t="s">
        <v>732</v>
      </c>
      <c r="B126" s="854">
        <v>44773</v>
      </c>
      <c r="C126" s="642" t="s">
        <v>707</v>
      </c>
      <c r="D126" s="1013">
        <v>489977</v>
      </c>
    </row>
    <row r="127" spans="1:4" x14ac:dyDescent="0.35">
      <c r="A127" s="642" t="s">
        <v>732</v>
      </c>
      <c r="B127" s="854">
        <v>44773</v>
      </c>
      <c r="C127" s="642" t="s">
        <v>713</v>
      </c>
      <c r="D127" s="1013">
        <v>3374</v>
      </c>
    </row>
    <row r="128" spans="1:4" x14ac:dyDescent="0.35">
      <c r="A128" s="642" t="s">
        <v>732</v>
      </c>
      <c r="B128" s="854">
        <v>44773</v>
      </c>
      <c r="C128" s="642" t="s">
        <v>709</v>
      </c>
      <c r="D128" s="1013">
        <v>11960.75</v>
      </c>
    </row>
    <row r="129" spans="1:4" s="894" customFormat="1" x14ac:dyDescent="0.35">
      <c r="A129" s="1018" t="s">
        <v>769</v>
      </c>
      <c r="B129" s="1019"/>
      <c r="C129" s="1018"/>
      <c r="D129" s="1020">
        <f>SUM(D123:D128)</f>
        <v>691459.01</v>
      </c>
    </row>
    <row r="130" spans="1:4" s="894" customFormat="1" x14ac:dyDescent="0.35">
      <c r="B130" s="853"/>
      <c r="D130" s="916"/>
    </row>
    <row r="131" spans="1:4" x14ac:dyDescent="0.35">
      <c r="A131" s="642" t="s">
        <v>777</v>
      </c>
      <c r="B131" s="854">
        <v>44773</v>
      </c>
      <c r="C131" s="642" t="s">
        <v>709</v>
      </c>
      <c r="D131" s="1013">
        <v>34735.72</v>
      </c>
    </row>
    <row r="132" spans="1:4" x14ac:dyDescent="0.35">
      <c r="A132" s="642" t="s">
        <v>777</v>
      </c>
      <c r="B132" s="854">
        <v>44773</v>
      </c>
      <c r="C132" s="642" t="s">
        <v>714</v>
      </c>
      <c r="D132" s="1013">
        <v>11646.1</v>
      </c>
    </row>
    <row r="133" spans="1:4" s="894" customFormat="1" x14ac:dyDescent="0.35">
      <c r="A133" s="1018" t="s">
        <v>769</v>
      </c>
      <c r="B133" s="1019"/>
      <c r="C133" s="1018"/>
      <c r="D133" s="1020">
        <f>SUM(D131:D132)</f>
        <v>46381.82</v>
      </c>
    </row>
    <row r="134" spans="1:4" s="894" customFormat="1" x14ac:dyDescent="0.35">
      <c r="B134" s="853"/>
      <c r="D134" s="916"/>
    </row>
    <row r="135" spans="1:4" x14ac:dyDescent="0.35">
      <c r="A135" s="642" t="s">
        <v>483</v>
      </c>
      <c r="B135" s="854">
        <v>44773</v>
      </c>
      <c r="C135" s="642" t="s">
        <v>709</v>
      </c>
      <c r="D135" s="1013">
        <v>5602.54</v>
      </c>
    </row>
    <row r="136" spans="1:4" s="894" customFormat="1" x14ac:dyDescent="0.35">
      <c r="A136" s="1018" t="s">
        <v>769</v>
      </c>
      <c r="B136" s="1019"/>
      <c r="C136" s="1018"/>
      <c r="D136" s="1020">
        <f>SUM(D135)</f>
        <v>5602.54</v>
      </c>
    </row>
    <row r="137" spans="1:4" s="894" customFormat="1" x14ac:dyDescent="0.35">
      <c r="B137" s="853"/>
      <c r="D137" s="916"/>
    </row>
    <row r="138" spans="1:4" x14ac:dyDescent="0.35">
      <c r="A138" s="642" t="s">
        <v>734</v>
      </c>
      <c r="B138" s="854">
        <v>44773</v>
      </c>
      <c r="C138" s="642" t="s">
        <v>714</v>
      </c>
      <c r="D138" s="1013">
        <v>9831.1</v>
      </c>
    </row>
    <row r="139" spans="1:4" x14ac:dyDescent="0.35">
      <c r="A139" s="642" t="s">
        <v>734</v>
      </c>
      <c r="B139" s="854">
        <v>44773</v>
      </c>
      <c r="C139" s="642" t="s">
        <v>719</v>
      </c>
      <c r="D139" s="1013">
        <v>2271.15</v>
      </c>
    </row>
    <row r="140" spans="1:4" x14ac:dyDescent="0.35">
      <c r="A140" s="642" t="s">
        <v>734</v>
      </c>
      <c r="B140" s="854">
        <v>44773</v>
      </c>
      <c r="C140" s="642" t="s">
        <v>709</v>
      </c>
      <c r="D140" s="1013">
        <v>32436.66</v>
      </c>
    </row>
    <row r="141" spans="1:4" s="894" customFormat="1" x14ac:dyDescent="0.35">
      <c r="A141" s="1018" t="s">
        <v>769</v>
      </c>
      <c r="B141" s="1019"/>
      <c r="C141" s="1018"/>
      <c r="D141" s="1020">
        <f>SUM(D138:D140)</f>
        <v>44538.91</v>
      </c>
    </row>
    <row r="142" spans="1:4" s="894" customFormat="1" x14ac:dyDescent="0.35">
      <c r="B142" s="853"/>
      <c r="D142" s="916"/>
    </row>
    <row r="143" spans="1:4" x14ac:dyDescent="0.35">
      <c r="A143" s="642" t="s">
        <v>736</v>
      </c>
      <c r="B143" s="854">
        <v>44773</v>
      </c>
      <c r="C143" s="642" t="s">
        <v>714</v>
      </c>
      <c r="D143" s="1013">
        <v>390316.1</v>
      </c>
    </row>
    <row r="144" spans="1:4" x14ac:dyDescent="0.35">
      <c r="A144" s="642" t="s">
        <v>736</v>
      </c>
      <c r="B144" s="854">
        <v>44773</v>
      </c>
      <c r="C144" s="642" t="s">
        <v>712</v>
      </c>
      <c r="D144" s="1013">
        <v>1405.9</v>
      </c>
    </row>
    <row r="145" spans="1:4" x14ac:dyDescent="0.35">
      <c r="A145" s="642" t="s">
        <v>736</v>
      </c>
      <c r="B145" s="854">
        <v>44773</v>
      </c>
      <c r="C145" s="642" t="s">
        <v>713</v>
      </c>
      <c r="D145" s="1013">
        <v>4834</v>
      </c>
    </row>
    <row r="146" spans="1:4" x14ac:dyDescent="0.35">
      <c r="A146" s="642" t="s">
        <v>736</v>
      </c>
      <c r="B146" s="854">
        <v>44773</v>
      </c>
      <c r="C146" s="642" t="s">
        <v>709</v>
      </c>
      <c r="D146" s="1013">
        <v>94680.72</v>
      </c>
    </row>
    <row r="147" spans="1:4" x14ac:dyDescent="0.35">
      <c r="A147" s="642" t="s">
        <v>736</v>
      </c>
      <c r="B147" s="854">
        <v>44773</v>
      </c>
      <c r="C147" s="642" t="s">
        <v>707</v>
      </c>
      <c r="D147" s="1013">
        <v>577899</v>
      </c>
    </row>
    <row r="148" spans="1:4" s="894" customFormat="1" x14ac:dyDescent="0.35">
      <c r="A148" s="1018" t="s">
        <v>769</v>
      </c>
      <c r="B148" s="1019"/>
      <c r="C148" s="1018"/>
      <c r="D148" s="1020">
        <f>SUM(D143:D147)</f>
        <v>1069135.72</v>
      </c>
    </row>
    <row r="149" spans="1:4" s="894" customFormat="1" x14ac:dyDescent="0.35">
      <c r="B149" s="853"/>
      <c r="D149" s="916"/>
    </row>
    <row r="150" spans="1:4" x14ac:dyDescent="0.35">
      <c r="A150" s="642" t="s">
        <v>511</v>
      </c>
      <c r="B150" s="854">
        <v>44773</v>
      </c>
      <c r="C150" s="642" t="s">
        <v>709</v>
      </c>
      <c r="D150" s="1013">
        <v>22547.74</v>
      </c>
    </row>
    <row r="151" spans="1:4" x14ac:dyDescent="0.35">
      <c r="A151" s="642" t="s">
        <v>511</v>
      </c>
      <c r="B151" s="854">
        <v>44773</v>
      </c>
      <c r="C151" s="642" t="s">
        <v>713</v>
      </c>
      <c r="D151" s="1013">
        <v>62</v>
      </c>
    </row>
    <row r="152" spans="1:4" x14ac:dyDescent="0.35">
      <c r="A152" s="642" t="s">
        <v>511</v>
      </c>
      <c r="B152" s="854">
        <v>44773</v>
      </c>
      <c r="C152" s="642" t="s">
        <v>719</v>
      </c>
      <c r="D152" s="1013">
        <v>2334.9</v>
      </c>
    </row>
    <row r="153" spans="1:4" s="894" customFormat="1" x14ac:dyDescent="0.35">
      <c r="A153" s="1018" t="s">
        <v>769</v>
      </c>
      <c r="B153" s="1019"/>
      <c r="C153" s="1018"/>
      <c r="D153" s="1020">
        <f>SUM(D150:D152)</f>
        <v>24944.640000000003</v>
      </c>
    </row>
    <row r="154" spans="1:4" s="894" customFormat="1" x14ac:dyDescent="0.35">
      <c r="A154" s="1018"/>
      <c r="B154" s="1019"/>
      <c r="C154" s="1018"/>
      <c r="D154" s="1020"/>
    </row>
    <row r="155" spans="1:4" x14ac:dyDescent="0.35">
      <c r="A155" s="642" t="s">
        <v>737</v>
      </c>
      <c r="B155" s="854">
        <v>44773</v>
      </c>
      <c r="C155" s="642" t="s">
        <v>713</v>
      </c>
      <c r="D155" s="1013">
        <v>150</v>
      </c>
    </row>
    <row r="156" spans="1:4" x14ac:dyDescent="0.35">
      <c r="A156" s="642" t="s">
        <v>737</v>
      </c>
      <c r="B156" s="854">
        <v>44773</v>
      </c>
      <c r="C156" s="642" t="s">
        <v>712</v>
      </c>
      <c r="D156" s="1013">
        <v>210</v>
      </c>
    </row>
    <row r="157" spans="1:4" x14ac:dyDescent="0.35">
      <c r="A157" s="642" t="s">
        <v>737</v>
      </c>
      <c r="B157" s="854">
        <v>44773</v>
      </c>
      <c r="C157" s="642" t="s">
        <v>707</v>
      </c>
      <c r="D157" s="1013">
        <v>29244</v>
      </c>
    </row>
    <row r="158" spans="1:4" x14ac:dyDescent="0.35">
      <c r="A158" s="642" t="s">
        <v>737</v>
      </c>
      <c r="B158" s="854">
        <v>44773</v>
      </c>
      <c r="C158" s="642" t="s">
        <v>714</v>
      </c>
      <c r="D158" s="1013">
        <v>11731.6</v>
      </c>
    </row>
    <row r="159" spans="1:4" s="894" customFormat="1" x14ac:dyDescent="0.35">
      <c r="A159" s="1018" t="s">
        <v>769</v>
      </c>
      <c r="B159" s="1019"/>
      <c r="C159" s="1018"/>
      <c r="D159" s="1020">
        <f>SUM(D155:D158)</f>
        <v>41335.599999999999</v>
      </c>
    </row>
    <row r="160" spans="1:4" s="894" customFormat="1" x14ac:dyDescent="0.35">
      <c r="B160" s="853"/>
      <c r="D160" s="916"/>
    </row>
    <row r="161" spans="1:4" x14ac:dyDescent="0.35">
      <c r="A161" s="642" t="s">
        <v>738</v>
      </c>
      <c r="B161" s="854">
        <v>44773</v>
      </c>
      <c r="C161" s="642" t="s">
        <v>707</v>
      </c>
      <c r="D161" s="1013">
        <v>8976</v>
      </c>
    </row>
    <row r="162" spans="1:4" x14ac:dyDescent="0.35">
      <c r="A162" s="642" t="s">
        <v>738</v>
      </c>
      <c r="B162" s="854">
        <v>44773</v>
      </c>
      <c r="C162" s="642" t="s">
        <v>714</v>
      </c>
      <c r="D162" s="1013">
        <v>6125.8</v>
      </c>
    </row>
    <row r="163" spans="1:4" s="894" customFormat="1" x14ac:dyDescent="0.35">
      <c r="A163" s="1018" t="s">
        <v>769</v>
      </c>
      <c r="B163" s="1019"/>
      <c r="C163" s="1018"/>
      <c r="D163" s="1020">
        <f>SUM(D161:D162)</f>
        <v>15101.8</v>
      </c>
    </row>
    <row r="164" spans="1:4" s="894" customFormat="1" x14ac:dyDescent="0.35">
      <c r="A164" s="683"/>
      <c r="B164" s="1017"/>
      <c r="C164" s="683"/>
      <c r="D164" s="917"/>
    </row>
    <row r="165" spans="1:4" x14ac:dyDescent="0.35">
      <c r="A165" s="642" t="s">
        <v>739</v>
      </c>
      <c r="B165" s="854">
        <v>44773</v>
      </c>
      <c r="C165" s="642" t="s">
        <v>707</v>
      </c>
      <c r="D165" s="1013">
        <v>273381</v>
      </c>
    </row>
    <row r="166" spans="1:4" x14ac:dyDescent="0.35">
      <c r="A166" s="642" t="s">
        <v>739</v>
      </c>
      <c r="B166" s="854">
        <v>44773</v>
      </c>
      <c r="C166" s="642" t="s">
        <v>712</v>
      </c>
      <c r="D166" s="1013">
        <v>1114.5999999999999</v>
      </c>
    </row>
    <row r="167" spans="1:4" x14ac:dyDescent="0.35">
      <c r="A167" s="642" t="s">
        <v>739</v>
      </c>
      <c r="B167" s="854">
        <v>44773</v>
      </c>
      <c r="C167" s="642" t="s">
        <v>714</v>
      </c>
      <c r="D167" s="1013">
        <v>88998.6</v>
      </c>
    </row>
    <row r="168" spans="1:4" x14ac:dyDescent="0.35">
      <c r="A168" s="642" t="s">
        <v>739</v>
      </c>
      <c r="B168" s="854">
        <v>44773</v>
      </c>
      <c r="C168" s="642" t="s">
        <v>709</v>
      </c>
      <c r="D168" s="1013">
        <v>26831.61</v>
      </c>
    </row>
    <row r="169" spans="1:4" x14ac:dyDescent="0.35">
      <c r="A169" s="642" t="s">
        <v>739</v>
      </c>
      <c r="B169" s="854">
        <v>44773</v>
      </c>
      <c r="C169" s="642" t="s">
        <v>719</v>
      </c>
      <c r="D169" s="1013">
        <v>463.46</v>
      </c>
    </row>
    <row r="170" spans="1:4" x14ac:dyDescent="0.35">
      <c r="A170" s="642" t="s">
        <v>739</v>
      </c>
      <c r="B170" s="854">
        <v>44773</v>
      </c>
      <c r="C170" s="642" t="s">
        <v>713</v>
      </c>
      <c r="D170" s="1013">
        <v>844.5</v>
      </c>
    </row>
    <row r="171" spans="1:4" s="894" customFormat="1" x14ac:dyDescent="0.35">
      <c r="A171" s="1018" t="s">
        <v>769</v>
      </c>
      <c r="B171" s="1019"/>
      <c r="C171" s="1018"/>
      <c r="D171" s="1020">
        <f>SUM(D165:D170)</f>
        <v>391633.76999999996</v>
      </c>
    </row>
    <row r="172" spans="1:4" s="894" customFormat="1" x14ac:dyDescent="0.35">
      <c r="B172" s="853"/>
      <c r="D172" s="916"/>
    </row>
    <row r="173" spans="1:4" x14ac:dyDescent="0.35">
      <c r="A173" s="642" t="s">
        <v>740</v>
      </c>
      <c r="B173" s="854">
        <v>44773</v>
      </c>
      <c r="C173" s="642" t="s">
        <v>713</v>
      </c>
      <c r="D173" s="1013">
        <v>565</v>
      </c>
    </row>
    <row r="174" spans="1:4" x14ac:dyDescent="0.35">
      <c r="A174" s="642" t="s">
        <v>740</v>
      </c>
      <c r="B174" s="854">
        <v>44773</v>
      </c>
      <c r="C174" s="642" t="s">
        <v>714</v>
      </c>
      <c r="D174" s="1013">
        <v>6398.5</v>
      </c>
    </row>
    <row r="175" spans="1:4" x14ac:dyDescent="0.35">
      <c r="A175" s="642" t="s">
        <v>740</v>
      </c>
      <c r="B175" s="854">
        <v>44773</v>
      </c>
      <c r="C175" s="642" t="s">
        <v>707</v>
      </c>
      <c r="D175" s="1013">
        <v>43508</v>
      </c>
    </row>
    <row r="176" spans="1:4" s="894" customFormat="1" x14ac:dyDescent="0.35">
      <c r="A176" s="1018" t="s">
        <v>769</v>
      </c>
      <c r="B176" s="1019"/>
      <c r="C176" s="1018"/>
      <c r="D176" s="1020">
        <f>SUM(D173:D175)</f>
        <v>50471.5</v>
      </c>
    </row>
    <row r="177" spans="1:4" s="894" customFormat="1" x14ac:dyDescent="0.35">
      <c r="B177" s="853"/>
      <c r="D177" s="916"/>
    </row>
    <row r="178" spans="1:4" x14ac:dyDescent="0.35">
      <c r="A178" s="642" t="s">
        <v>741</v>
      </c>
      <c r="B178" s="854">
        <v>44773</v>
      </c>
      <c r="C178" s="642" t="s">
        <v>712</v>
      </c>
      <c r="D178" s="1013">
        <v>150</v>
      </c>
    </row>
    <row r="179" spans="1:4" x14ac:dyDescent="0.35">
      <c r="A179" s="642" t="s">
        <v>741</v>
      </c>
      <c r="B179" s="854">
        <v>44773</v>
      </c>
      <c r="C179" s="642" t="s">
        <v>709</v>
      </c>
      <c r="D179" s="1013">
        <v>137400.93</v>
      </c>
    </row>
    <row r="180" spans="1:4" x14ac:dyDescent="0.35">
      <c r="A180" s="642" t="s">
        <v>741</v>
      </c>
      <c r="B180" s="854">
        <v>44773</v>
      </c>
      <c r="C180" s="642" t="s">
        <v>713</v>
      </c>
      <c r="D180" s="1013">
        <v>166</v>
      </c>
    </row>
    <row r="181" spans="1:4" x14ac:dyDescent="0.35">
      <c r="A181" s="642" t="s">
        <v>741</v>
      </c>
      <c r="B181" s="854">
        <v>44773</v>
      </c>
      <c r="C181" s="642" t="s">
        <v>714</v>
      </c>
      <c r="D181" s="1013">
        <v>20959.099999999999</v>
      </c>
    </row>
    <row r="182" spans="1:4" s="894" customFormat="1" x14ac:dyDescent="0.35">
      <c r="A182" s="1018" t="s">
        <v>769</v>
      </c>
      <c r="B182" s="1019"/>
      <c r="C182" s="1018"/>
      <c r="D182" s="1020">
        <f>SUM(D178:D181)</f>
        <v>158676.03</v>
      </c>
    </row>
    <row r="183" spans="1:4" s="894" customFormat="1" x14ac:dyDescent="0.35">
      <c r="B183" s="853"/>
      <c r="D183" s="916"/>
    </row>
    <row r="184" spans="1:4" x14ac:dyDescent="0.35">
      <c r="A184" s="642" t="s">
        <v>742</v>
      </c>
      <c r="B184" s="854">
        <v>44773</v>
      </c>
      <c r="C184" s="642" t="s">
        <v>713</v>
      </c>
      <c r="D184" s="1013">
        <v>7768.9</v>
      </c>
    </row>
    <row r="185" spans="1:4" x14ac:dyDescent="0.35">
      <c r="A185" s="642" t="s">
        <v>742</v>
      </c>
      <c r="B185" s="854">
        <v>44773</v>
      </c>
      <c r="C185" s="642" t="s">
        <v>709</v>
      </c>
      <c r="D185" s="1013">
        <v>7078.01</v>
      </c>
    </row>
    <row r="186" spans="1:4" x14ac:dyDescent="0.35">
      <c r="A186" s="642" t="s">
        <v>742</v>
      </c>
      <c r="B186" s="854">
        <v>44773</v>
      </c>
      <c r="C186" s="642" t="s">
        <v>707</v>
      </c>
      <c r="D186" s="1013">
        <v>873945</v>
      </c>
    </row>
    <row r="187" spans="1:4" x14ac:dyDescent="0.35">
      <c r="A187" s="642" t="s">
        <v>742</v>
      </c>
      <c r="B187" s="854">
        <v>44773</v>
      </c>
      <c r="C187" s="642" t="s">
        <v>712</v>
      </c>
      <c r="D187" s="1013">
        <v>1783</v>
      </c>
    </row>
    <row r="188" spans="1:4" x14ac:dyDescent="0.35">
      <c r="A188" s="642" t="s">
        <v>742</v>
      </c>
      <c r="B188" s="854">
        <v>44773</v>
      </c>
      <c r="C188" s="642" t="s">
        <v>714</v>
      </c>
      <c r="D188" s="1013">
        <v>211195.3</v>
      </c>
    </row>
    <row r="189" spans="1:4" s="894" customFormat="1" x14ac:dyDescent="0.35">
      <c r="A189" s="1018" t="s">
        <v>769</v>
      </c>
      <c r="B189" s="1019"/>
      <c r="C189" s="1018"/>
      <c r="D189" s="1020">
        <f>SUM(D184:D188)</f>
        <v>1101770.21</v>
      </c>
    </row>
    <row r="190" spans="1:4" s="894" customFormat="1" x14ac:dyDescent="0.35">
      <c r="B190" s="853"/>
      <c r="D190" s="916"/>
    </row>
    <row r="191" spans="1:4" x14ac:dyDescent="0.35">
      <c r="A191" s="642" t="s">
        <v>743</v>
      </c>
      <c r="B191" s="854">
        <v>44773</v>
      </c>
      <c r="C191" s="642" t="s">
        <v>714</v>
      </c>
      <c r="D191" s="1013">
        <v>80866.3</v>
      </c>
    </row>
    <row r="192" spans="1:4" x14ac:dyDescent="0.35">
      <c r="A192" s="642" t="s">
        <v>743</v>
      </c>
      <c r="B192" s="854">
        <v>44773</v>
      </c>
      <c r="C192" s="642" t="s">
        <v>713</v>
      </c>
      <c r="D192" s="1013">
        <v>9329</v>
      </c>
    </row>
    <row r="193" spans="1:4" x14ac:dyDescent="0.35">
      <c r="A193" s="642" t="s">
        <v>743</v>
      </c>
      <c r="B193" s="854">
        <v>44773</v>
      </c>
      <c r="C193" s="642" t="s">
        <v>712</v>
      </c>
      <c r="D193" s="1013">
        <v>97.5</v>
      </c>
    </row>
    <row r="194" spans="1:4" x14ac:dyDescent="0.35">
      <c r="A194" s="642" t="s">
        <v>743</v>
      </c>
      <c r="B194" s="854">
        <v>44773</v>
      </c>
      <c r="C194" s="642" t="s">
        <v>709</v>
      </c>
      <c r="D194" s="1013">
        <v>20178.95</v>
      </c>
    </row>
    <row r="195" spans="1:4" x14ac:dyDescent="0.35">
      <c r="A195" s="642" t="s">
        <v>743</v>
      </c>
      <c r="B195" s="854">
        <v>44773</v>
      </c>
      <c r="C195" s="642" t="s">
        <v>710</v>
      </c>
      <c r="D195" s="1013">
        <v>1578.75</v>
      </c>
    </row>
    <row r="196" spans="1:4" x14ac:dyDescent="0.35">
      <c r="A196" s="642" t="s">
        <v>743</v>
      </c>
      <c r="B196" s="854">
        <v>44773</v>
      </c>
      <c r="C196" s="642" t="s">
        <v>707</v>
      </c>
      <c r="D196" s="1013">
        <v>377947</v>
      </c>
    </row>
    <row r="197" spans="1:4" s="894" customFormat="1" x14ac:dyDescent="0.35">
      <c r="A197" s="1018" t="s">
        <v>769</v>
      </c>
      <c r="B197" s="1019"/>
      <c r="C197" s="1018"/>
      <c r="D197" s="1020">
        <f>SUM(D191:D196)</f>
        <v>489997.5</v>
      </c>
    </row>
    <row r="198" spans="1:4" s="894" customFormat="1" x14ac:dyDescent="0.35">
      <c r="B198" s="853"/>
      <c r="D198" s="916"/>
    </row>
    <row r="199" spans="1:4" x14ac:dyDescent="0.35">
      <c r="A199" s="642" t="s">
        <v>526</v>
      </c>
      <c r="B199" s="854">
        <v>44773</v>
      </c>
      <c r="C199" s="642" t="s">
        <v>712</v>
      </c>
      <c r="D199" s="1013">
        <v>1105</v>
      </c>
    </row>
    <row r="200" spans="1:4" x14ac:dyDescent="0.35">
      <c r="A200" s="642" t="s">
        <v>526</v>
      </c>
      <c r="B200" s="854">
        <v>44773</v>
      </c>
      <c r="C200" s="642" t="s">
        <v>707</v>
      </c>
      <c r="D200" s="1013">
        <v>1435308</v>
      </c>
    </row>
    <row r="201" spans="1:4" x14ac:dyDescent="0.35">
      <c r="A201" s="642" t="s">
        <v>526</v>
      </c>
      <c r="B201" s="854">
        <v>44773</v>
      </c>
      <c r="C201" s="642" t="s">
        <v>713</v>
      </c>
      <c r="D201" s="1013">
        <v>2035.5</v>
      </c>
    </row>
    <row r="202" spans="1:4" x14ac:dyDescent="0.35">
      <c r="A202" s="642" t="s">
        <v>526</v>
      </c>
      <c r="B202" s="854">
        <v>44773</v>
      </c>
      <c r="C202" s="642" t="s">
        <v>714</v>
      </c>
      <c r="D202" s="1013">
        <v>332785.5</v>
      </c>
    </row>
    <row r="203" spans="1:4" s="894" customFormat="1" x14ac:dyDescent="0.35">
      <c r="A203" s="1018" t="s">
        <v>769</v>
      </c>
      <c r="B203" s="1019"/>
      <c r="C203" s="1018"/>
      <c r="D203" s="1020">
        <f>SUM(D199:D202)</f>
        <v>1771234</v>
      </c>
    </row>
    <row r="204" spans="1:4" s="894" customFormat="1" x14ac:dyDescent="0.35">
      <c r="B204" s="853"/>
      <c r="D204" s="916"/>
    </row>
    <row r="205" spans="1:4" x14ac:dyDescent="0.35">
      <c r="A205" s="642" t="s">
        <v>744</v>
      </c>
      <c r="B205" s="854">
        <v>44773</v>
      </c>
      <c r="C205" s="642" t="s">
        <v>718</v>
      </c>
      <c r="D205" s="1013">
        <v>-140686</v>
      </c>
    </row>
    <row r="206" spans="1:4" x14ac:dyDescent="0.35">
      <c r="A206" s="642" t="s">
        <v>744</v>
      </c>
      <c r="B206" s="854">
        <v>44773</v>
      </c>
      <c r="C206" s="642" t="s">
        <v>714</v>
      </c>
      <c r="D206" s="1013">
        <v>58515.1</v>
      </c>
    </row>
    <row r="207" spans="1:4" x14ac:dyDescent="0.35">
      <c r="A207" s="642" t="s">
        <v>744</v>
      </c>
      <c r="B207" s="854">
        <v>44773</v>
      </c>
      <c r="C207" s="642" t="s">
        <v>707</v>
      </c>
      <c r="D207" s="1013">
        <v>29799</v>
      </c>
    </row>
    <row r="208" spans="1:4" x14ac:dyDescent="0.35">
      <c r="A208" s="642" t="s">
        <v>744</v>
      </c>
      <c r="B208" s="854">
        <v>44773</v>
      </c>
      <c r="C208" s="642" t="s">
        <v>713</v>
      </c>
      <c r="D208" s="1013">
        <v>4051</v>
      </c>
    </row>
    <row r="209" spans="1:5" x14ac:dyDescent="0.35">
      <c r="A209" s="642" t="s">
        <v>744</v>
      </c>
      <c r="B209" s="854">
        <v>44773</v>
      </c>
      <c r="C209" s="642" t="s">
        <v>712</v>
      </c>
      <c r="D209" s="1013">
        <v>472</v>
      </c>
    </row>
    <row r="210" spans="1:5" x14ac:dyDescent="0.35">
      <c r="A210" s="642" t="s">
        <v>744</v>
      </c>
      <c r="B210" s="854">
        <v>44773</v>
      </c>
      <c r="C210" s="642" t="s">
        <v>709</v>
      </c>
      <c r="D210" s="1013">
        <v>193109.17</v>
      </c>
    </row>
    <row r="211" spans="1:5" s="894" customFormat="1" x14ac:dyDescent="0.35">
      <c r="A211" s="1018" t="s">
        <v>769</v>
      </c>
      <c r="B211" s="1019"/>
      <c r="C211" s="1018"/>
      <c r="D211" s="1020">
        <f>SUM(D205:D210)</f>
        <v>145260.27000000002</v>
      </c>
    </row>
    <row r="212" spans="1:5" s="894" customFormat="1" x14ac:dyDescent="0.35">
      <c r="B212" s="853"/>
      <c r="D212" s="916"/>
    </row>
    <row r="213" spans="1:5" x14ac:dyDescent="0.35">
      <c r="A213" s="642" t="s">
        <v>745</v>
      </c>
      <c r="B213" s="854">
        <v>44773</v>
      </c>
      <c r="C213" s="642" t="s">
        <v>707</v>
      </c>
      <c r="D213" s="1013">
        <v>353276</v>
      </c>
    </row>
    <row r="214" spans="1:5" x14ac:dyDescent="0.35">
      <c r="A214" s="642" t="s">
        <v>745</v>
      </c>
      <c r="B214" s="854">
        <v>44773</v>
      </c>
      <c r="C214" s="642" t="s">
        <v>709</v>
      </c>
      <c r="D214" s="1013">
        <v>8671.7999999999993</v>
      </c>
    </row>
    <row r="215" spans="1:5" x14ac:dyDescent="0.35">
      <c r="A215" s="642" t="s">
        <v>745</v>
      </c>
      <c r="B215" s="854">
        <v>44773</v>
      </c>
      <c r="C215" s="642" t="s">
        <v>712</v>
      </c>
      <c r="D215" s="1013">
        <v>139.9</v>
      </c>
    </row>
    <row r="216" spans="1:5" x14ac:dyDescent="0.35">
      <c r="A216" s="642" t="s">
        <v>745</v>
      </c>
      <c r="B216" s="854">
        <v>44773</v>
      </c>
      <c r="C216" s="642" t="s">
        <v>713</v>
      </c>
      <c r="D216" s="1013">
        <v>5217.5</v>
      </c>
    </row>
    <row r="217" spans="1:5" x14ac:dyDescent="0.35">
      <c r="A217" s="642" t="s">
        <v>745</v>
      </c>
      <c r="B217" s="854">
        <v>44773</v>
      </c>
      <c r="C217" s="642" t="s">
        <v>714</v>
      </c>
      <c r="D217" s="1013">
        <v>134882.20000000001</v>
      </c>
    </row>
    <row r="218" spans="1:5" s="894" customFormat="1" x14ac:dyDescent="0.35">
      <c r="A218" s="1018" t="s">
        <v>769</v>
      </c>
      <c r="B218" s="1019"/>
      <c r="C218" s="1018"/>
      <c r="D218" s="1020">
        <f>SUM(D213:D217)</f>
        <v>502187.4</v>
      </c>
    </row>
    <row r="219" spans="1:5" s="894" customFormat="1" x14ac:dyDescent="0.35">
      <c r="B219" s="853"/>
      <c r="D219" s="916"/>
    </row>
    <row r="220" spans="1:5" x14ac:dyDescent="0.35">
      <c r="A220" s="642" t="s">
        <v>746</v>
      </c>
      <c r="B220" s="854">
        <v>44773</v>
      </c>
      <c r="C220" s="642" t="s">
        <v>714</v>
      </c>
      <c r="D220" s="1013">
        <v>4762.3999999999996</v>
      </c>
      <c r="E220" s="642"/>
    </row>
    <row r="221" spans="1:5" x14ac:dyDescent="0.35">
      <c r="A221" s="642" t="s">
        <v>746</v>
      </c>
      <c r="B221" s="854">
        <v>44773</v>
      </c>
      <c r="C221" s="642" t="s">
        <v>713</v>
      </c>
      <c r="D221" s="1013">
        <v>66.5</v>
      </c>
      <c r="E221" s="642"/>
    </row>
    <row r="222" spans="1:5" x14ac:dyDescent="0.35">
      <c r="A222" s="642" t="s">
        <v>746</v>
      </c>
      <c r="B222" s="854">
        <v>44773</v>
      </c>
      <c r="C222" s="642" t="s">
        <v>707</v>
      </c>
      <c r="D222" s="1013">
        <v>44415</v>
      </c>
      <c r="E222" s="642"/>
    </row>
    <row r="223" spans="1:5" x14ac:dyDescent="0.35">
      <c r="A223" s="642" t="s">
        <v>746</v>
      </c>
      <c r="B223" s="854">
        <v>44773</v>
      </c>
      <c r="C223" s="642" t="s">
        <v>709</v>
      </c>
      <c r="D223" s="1013">
        <v>13344.67</v>
      </c>
      <c r="E223" s="642"/>
    </row>
    <row r="224" spans="1:5" s="894" customFormat="1" x14ac:dyDescent="0.35">
      <c r="A224" s="1018" t="s">
        <v>769</v>
      </c>
      <c r="B224" s="1019"/>
      <c r="C224" s="1018"/>
      <c r="D224" s="1020">
        <f>SUM(D220:D223)</f>
        <v>62588.57</v>
      </c>
      <c r="E224" s="642"/>
    </row>
    <row r="225" spans="1:4" s="894" customFormat="1" x14ac:dyDescent="0.35">
      <c r="B225" s="853"/>
      <c r="D225" s="916"/>
    </row>
    <row r="226" spans="1:4" x14ac:dyDescent="0.35">
      <c r="A226" s="642" t="s">
        <v>748</v>
      </c>
      <c r="B226" s="854">
        <v>44773</v>
      </c>
      <c r="C226" s="642" t="s">
        <v>709</v>
      </c>
      <c r="D226" s="1013">
        <v>15173.86</v>
      </c>
    </row>
    <row r="227" spans="1:4" x14ac:dyDescent="0.35">
      <c r="A227" s="642" t="s">
        <v>748</v>
      </c>
      <c r="B227" s="854">
        <v>44773</v>
      </c>
      <c r="C227" s="642" t="s">
        <v>710</v>
      </c>
      <c r="D227" s="1013">
        <v>147605.51</v>
      </c>
    </row>
    <row r="228" spans="1:4" s="894" customFormat="1" x14ac:dyDescent="0.35">
      <c r="A228" s="1018" t="s">
        <v>769</v>
      </c>
      <c r="B228" s="1019"/>
      <c r="C228" s="1018"/>
      <c r="D228" s="1020">
        <f>SUM(D226:D227)</f>
        <v>162779.37</v>
      </c>
    </row>
    <row r="229" spans="1:4" s="894" customFormat="1" x14ac:dyDescent="0.35">
      <c r="B229" s="853"/>
      <c r="D229" s="916"/>
    </row>
    <row r="230" spans="1:4" x14ac:dyDescent="0.35">
      <c r="A230" s="642" t="s">
        <v>749</v>
      </c>
      <c r="B230" s="854">
        <v>44773</v>
      </c>
      <c r="C230" s="642" t="s">
        <v>709</v>
      </c>
      <c r="D230" s="1013">
        <v>57304.72</v>
      </c>
    </row>
    <row r="231" spans="1:4" x14ac:dyDescent="0.35">
      <c r="A231" s="642" t="s">
        <v>749</v>
      </c>
      <c r="B231" s="854">
        <v>44773</v>
      </c>
      <c r="C231" s="642" t="s">
        <v>713</v>
      </c>
      <c r="D231" s="1013">
        <v>290</v>
      </c>
    </row>
    <row r="232" spans="1:4" x14ac:dyDescent="0.35">
      <c r="A232" s="642" t="s">
        <v>749</v>
      </c>
      <c r="B232" s="854">
        <v>44773</v>
      </c>
      <c r="C232" s="642" t="s">
        <v>714</v>
      </c>
      <c r="D232" s="1013">
        <v>6743.7</v>
      </c>
    </row>
    <row r="233" spans="1:4" x14ac:dyDescent="0.35">
      <c r="A233" s="642" t="s">
        <v>749</v>
      </c>
      <c r="B233" s="854">
        <v>44773</v>
      </c>
      <c r="C233" s="642" t="s">
        <v>707</v>
      </c>
      <c r="D233" s="1013">
        <v>20316</v>
      </c>
    </row>
    <row r="234" spans="1:4" x14ac:dyDescent="0.35">
      <c r="A234" s="642" t="s">
        <v>749</v>
      </c>
      <c r="B234" s="854">
        <v>44773</v>
      </c>
      <c r="C234" s="642" t="s">
        <v>710</v>
      </c>
      <c r="D234" s="1013">
        <v>2368.38</v>
      </c>
    </row>
    <row r="235" spans="1:4" s="894" customFormat="1" x14ac:dyDescent="0.35">
      <c r="A235" s="1018" t="s">
        <v>769</v>
      </c>
      <c r="B235" s="1019"/>
      <c r="C235" s="1018"/>
      <c r="D235" s="1020">
        <f>SUM(D230:D234)</f>
        <v>87022.8</v>
      </c>
    </row>
    <row r="236" spans="1:4" s="894" customFormat="1" x14ac:dyDescent="0.35">
      <c r="B236" s="853"/>
      <c r="D236" s="916"/>
    </row>
    <row r="237" spans="1:4" x14ac:dyDescent="0.35">
      <c r="A237" s="642" t="s">
        <v>750</v>
      </c>
      <c r="B237" s="854">
        <v>44773</v>
      </c>
      <c r="C237" s="642" t="s">
        <v>707</v>
      </c>
      <c r="D237" s="1013">
        <v>583294</v>
      </c>
    </row>
    <row r="238" spans="1:4" x14ac:dyDescent="0.35">
      <c r="A238" s="642" t="s">
        <v>750</v>
      </c>
      <c r="B238" s="854">
        <v>44773</v>
      </c>
      <c r="C238" s="642" t="s">
        <v>714</v>
      </c>
      <c r="D238" s="1013">
        <v>309217.40000000002</v>
      </c>
    </row>
    <row r="239" spans="1:4" x14ac:dyDescent="0.35">
      <c r="A239" s="642" t="s">
        <v>750</v>
      </c>
      <c r="B239" s="854">
        <v>44773</v>
      </c>
      <c r="C239" s="642" t="s">
        <v>712</v>
      </c>
      <c r="D239" s="1013">
        <v>815</v>
      </c>
    </row>
    <row r="240" spans="1:4" x14ac:dyDescent="0.35">
      <c r="A240" s="642" t="s">
        <v>750</v>
      </c>
      <c r="B240" s="854">
        <v>44773</v>
      </c>
      <c r="C240" s="642" t="s">
        <v>713</v>
      </c>
      <c r="D240" s="1013">
        <v>4756</v>
      </c>
    </row>
    <row r="241" spans="1:4" x14ac:dyDescent="0.35">
      <c r="A241" s="642" t="s">
        <v>750</v>
      </c>
      <c r="B241" s="854">
        <v>44773</v>
      </c>
      <c r="C241" s="642" t="s">
        <v>709</v>
      </c>
      <c r="D241" s="1013">
        <v>160863.89000000001</v>
      </c>
    </row>
    <row r="242" spans="1:4" s="894" customFormat="1" x14ac:dyDescent="0.35">
      <c r="A242" s="1018" t="s">
        <v>769</v>
      </c>
      <c r="B242" s="1019"/>
      <c r="C242" s="1018"/>
      <c r="D242" s="1020">
        <f>SUM(D237:D241)</f>
        <v>1058946.29</v>
      </c>
    </row>
    <row r="243" spans="1:4" s="894" customFormat="1" x14ac:dyDescent="0.35">
      <c r="B243" s="853"/>
      <c r="D243" s="916"/>
    </row>
    <row r="244" spans="1:4" x14ac:dyDescent="0.35">
      <c r="A244" s="642" t="s">
        <v>751</v>
      </c>
      <c r="B244" s="854">
        <v>44773</v>
      </c>
      <c r="C244" s="642" t="s">
        <v>713</v>
      </c>
      <c r="D244" s="1013">
        <v>10879.4</v>
      </c>
    </row>
    <row r="245" spans="1:4" x14ac:dyDescent="0.35">
      <c r="A245" s="642" t="s">
        <v>751</v>
      </c>
      <c r="B245" s="854">
        <v>44773</v>
      </c>
      <c r="C245" s="642" t="s">
        <v>709</v>
      </c>
      <c r="D245" s="1013">
        <v>14767.52</v>
      </c>
    </row>
    <row r="246" spans="1:4" x14ac:dyDescent="0.35">
      <c r="A246" s="642" t="s">
        <v>751</v>
      </c>
      <c r="B246" s="854">
        <v>44773</v>
      </c>
      <c r="C246" s="642" t="s">
        <v>712</v>
      </c>
      <c r="D246" s="1013">
        <v>100</v>
      </c>
    </row>
    <row r="247" spans="1:4" x14ac:dyDescent="0.35">
      <c r="A247" s="642" t="s">
        <v>751</v>
      </c>
      <c r="B247" s="854">
        <v>44773</v>
      </c>
      <c r="C247" s="642" t="s">
        <v>714</v>
      </c>
      <c r="D247" s="1013">
        <v>295406.3</v>
      </c>
    </row>
    <row r="248" spans="1:4" x14ac:dyDescent="0.35">
      <c r="A248" s="642" t="s">
        <v>751</v>
      </c>
      <c r="B248" s="854">
        <v>44773</v>
      </c>
      <c r="C248" s="642" t="s">
        <v>707</v>
      </c>
      <c r="D248" s="1013">
        <v>857066</v>
      </c>
    </row>
    <row r="249" spans="1:4" s="894" customFormat="1" x14ac:dyDescent="0.35">
      <c r="A249" s="1018" t="s">
        <v>769</v>
      </c>
      <c r="B249" s="1019"/>
      <c r="C249" s="1018"/>
      <c r="D249" s="1020">
        <f>SUM(D244:D248)</f>
        <v>1178219.22</v>
      </c>
    </row>
    <row r="250" spans="1:4" s="894" customFormat="1" x14ac:dyDescent="0.35">
      <c r="B250" s="853"/>
      <c r="D250" s="916"/>
    </row>
    <row r="251" spans="1:4" x14ac:dyDescent="0.35">
      <c r="A251" s="642" t="s">
        <v>752</v>
      </c>
      <c r="B251" s="854">
        <v>44773</v>
      </c>
      <c r="C251" s="642" t="s">
        <v>714</v>
      </c>
      <c r="D251" s="1013">
        <v>10706.7</v>
      </c>
    </row>
    <row r="252" spans="1:4" x14ac:dyDescent="0.35">
      <c r="A252" s="642" t="s">
        <v>752</v>
      </c>
      <c r="B252" s="854">
        <v>44773</v>
      </c>
      <c r="C252" s="642" t="s">
        <v>709</v>
      </c>
      <c r="D252" s="1013">
        <v>21632.18</v>
      </c>
    </row>
    <row r="253" spans="1:4" s="894" customFormat="1" x14ac:dyDescent="0.35">
      <c r="A253" s="1018" t="s">
        <v>769</v>
      </c>
      <c r="B253" s="1019"/>
      <c r="C253" s="1018"/>
      <c r="D253" s="1020">
        <f>SUM(D251:D252)</f>
        <v>32338.880000000001</v>
      </c>
    </row>
    <row r="254" spans="1:4" s="894" customFormat="1" x14ac:dyDescent="0.35">
      <c r="B254" s="853"/>
      <c r="D254" s="916"/>
    </row>
    <row r="255" spans="1:4" x14ac:dyDescent="0.35">
      <c r="A255" s="642" t="s">
        <v>753</v>
      </c>
      <c r="B255" s="854">
        <v>44773</v>
      </c>
      <c r="C255" s="642" t="s">
        <v>712</v>
      </c>
      <c r="D255" s="1013">
        <v>276.2</v>
      </c>
    </row>
    <row r="256" spans="1:4" x14ac:dyDescent="0.35">
      <c r="A256" s="642" t="s">
        <v>753</v>
      </c>
      <c r="B256" s="854">
        <v>44773</v>
      </c>
      <c r="C256" s="642" t="s">
        <v>707</v>
      </c>
      <c r="D256" s="1013">
        <v>210769</v>
      </c>
    </row>
    <row r="257" spans="1:4" x14ac:dyDescent="0.35">
      <c r="A257" s="642" t="s">
        <v>753</v>
      </c>
      <c r="B257" s="854">
        <v>44773</v>
      </c>
      <c r="C257" s="642" t="s">
        <v>714</v>
      </c>
      <c r="D257" s="1013">
        <v>81918.399999999994</v>
      </c>
    </row>
    <row r="258" spans="1:4" x14ac:dyDescent="0.35">
      <c r="A258" s="642" t="s">
        <v>753</v>
      </c>
      <c r="B258" s="854">
        <v>44773</v>
      </c>
      <c r="C258" s="642" t="s">
        <v>713</v>
      </c>
      <c r="D258" s="1013">
        <v>3426.3</v>
      </c>
    </row>
    <row r="259" spans="1:4" s="894" customFormat="1" x14ac:dyDescent="0.35">
      <c r="A259" s="1018" t="s">
        <v>769</v>
      </c>
      <c r="B259" s="1019"/>
      <c r="C259" s="1018"/>
      <c r="D259" s="1020">
        <f>SUM(D255:D258)</f>
        <v>296389.89999999997</v>
      </c>
    </row>
    <row r="260" spans="1:4" s="894" customFormat="1" x14ac:dyDescent="0.35">
      <c r="B260" s="853"/>
      <c r="D260" s="916"/>
    </row>
    <row r="261" spans="1:4" x14ac:dyDescent="0.35">
      <c r="A261" s="642" t="s">
        <v>754</v>
      </c>
      <c r="B261" s="854">
        <v>44773</v>
      </c>
      <c r="C261" s="642" t="s">
        <v>714</v>
      </c>
      <c r="D261" s="1013">
        <v>981565.2</v>
      </c>
    </row>
    <row r="262" spans="1:4" x14ac:dyDescent="0.35">
      <c r="A262" s="642" t="s">
        <v>754</v>
      </c>
      <c r="B262" s="854">
        <v>44773</v>
      </c>
      <c r="C262" s="642" t="s">
        <v>710</v>
      </c>
      <c r="D262" s="1013">
        <v>3310.24</v>
      </c>
    </row>
    <row r="263" spans="1:4" x14ac:dyDescent="0.35">
      <c r="A263" s="642" t="s">
        <v>754</v>
      </c>
      <c r="B263" s="854">
        <v>44773</v>
      </c>
      <c r="C263" s="642" t="s">
        <v>712</v>
      </c>
      <c r="D263" s="1013">
        <v>4815.3999999999996</v>
      </c>
    </row>
    <row r="264" spans="1:4" x14ac:dyDescent="0.35">
      <c r="A264" s="642" t="s">
        <v>754</v>
      </c>
      <c r="B264" s="854">
        <v>44773</v>
      </c>
      <c r="C264" s="642" t="s">
        <v>713</v>
      </c>
      <c r="D264" s="1013">
        <v>14906</v>
      </c>
    </row>
    <row r="265" spans="1:4" x14ac:dyDescent="0.35">
      <c r="A265" s="642" t="s">
        <v>754</v>
      </c>
      <c r="B265" s="854">
        <v>44773</v>
      </c>
      <c r="C265" s="642" t="s">
        <v>707</v>
      </c>
      <c r="D265" s="1013">
        <v>3057700</v>
      </c>
    </row>
    <row r="266" spans="1:4" x14ac:dyDescent="0.35">
      <c r="A266" s="642" t="s">
        <v>754</v>
      </c>
      <c r="B266" s="854">
        <v>44773</v>
      </c>
      <c r="C266" s="642" t="s">
        <v>709</v>
      </c>
      <c r="D266" s="1013">
        <v>2634817.5299999998</v>
      </c>
    </row>
    <row r="267" spans="1:4" x14ac:dyDescent="0.35">
      <c r="A267" s="642" t="s">
        <v>754</v>
      </c>
      <c r="B267" s="854">
        <v>44773</v>
      </c>
      <c r="C267" s="642" t="s">
        <v>719</v>
      </c>
      <c r="D267" s="1013">
        <v>19972.419999999998</v>
      </c>
    </row>
    <row r="268" spans="1:4" s="894" customFormat="1" x14ac:dyDescent="0.35">
      <c r="A268" s="1018" t="s">
        <v>769</v>
      </c>
      <c r="B268" s="1019"/>
      <c r="C268" s="1018"/>
      <c r="D268" s="1020">
        <f>SUM(D261:D267)</f>
        <v>6717086.7899999991</v>
      </c>
    </row>
    <row r="269" spans="1:4" s="894" customFormat="1" x14ac:dyDescent="0.35">
      <c r="B269" s="853"/>
      <c r="D269" s="916"/>
    </row>
    <row r="270" spans="1:4" x14ac:dyDescent="0.35">
      <c r="A270" s="642" t="s">
        <v>755</v>
      </c>
      <c r="B270" s="854">
        <v>44773</v>
      </c>
      <c r="C270" s="642" t="s">
        <v>709</v>
      </c>
      <c r="D270" s="1013">
        <v>29927.78</v>
      </c>
    </row>
    <row r="271" spans="1:4" x14ac:dyDescent="0.35">
      <c r="A271" s="642" t="s">
        <v>755</v>
      </c>
      <c r="B271" s="854">
        <v>44773</v>
      </c>
      <c r="C271" s="642" t="s">
        <v>712</v>
      </c>
      <c r="D271" s="1013">
        <v>1045.7</v>
      </c>
    </row>
    <row r="272" spans="1:4" x14ac:dyDescent="0.35">
      <c r="A272" s="642" t="s">
        <v>755</v>
      </c>
      <c r="B272" s="854">
        <v>44773</v>
      </c>
      <c r="C272" s="642" t="s">
        <v>713</v>
      </c>
      <c r="D272" s="1013">
        <v>27796.5</v>
      </c>
    </row>
    <row r="273" spans="1:4" x14ac:dyDescent="0.35">
      <c r="A273" s="642" t="s">
        <v>755</v>
      </c>
      <c r="B273" s="854">
        <v>44773</v>
      </c>
      <c r="C273" s="642" t="s">
        <v>714</v>
      </c>
      <c r="D273" s="1013">
        <v>582756.69999999995</v>
      </c>
    </row>
    <row r="274" spans="1:4" x14ac:dyDescent="0.35">
      <c r="A274" s="642" t="s">
        <v>755</v>
      </c>
      <c r="B274" s="854">
        <v>44773</v>
      </c>
      <c r="C274" s="642" t="s">
        <v>707</v>
      </c>
      <c r="D274" s="1013">
        <v>2142946</v>
      </c>
    </row>
    <row r="275" spans="1:4" s="894" customFormat="1" x14ac:dyDescent="0.35">
      <c r="A275" s="1018" t="s">
        <v>769</v>
      </c>
      <c r="B275" s="1019"/>
      <c r="C275" s="1018"/>
      <c r="D275" s="1020">
        <f>SUM(D270:D274)</f>
        <v>2784472.6799999997</v>
      </c>
    </row>
    <row r="276" spans="1:4" s="894" customFormat="1" x14ac:dyDescent="0.35">
      <c r="B276" s="853"/>
      <c r="D276" s="916"/>
    </row>
    <row r="277" spans="1:4" x14ac:dyDescent="0.35">
      <c r="A277" s="642" t="s">
        <v>504</v>
      </c>
      <c r="B277" s="854">
        <v>44773</v>
      </c>
      <c r="C277" s="642" t="s">
        <v>709</v>
      </c>
      <c r="D277" s="1013">
        <v>48556.54</v>
      </c>
    </row>
    <row r="278" spans="1:4" x14ac:dyDescent="0.35">
      <c r="A278" s="642" t="s">
        <v>504</v>
      </c>
      <c r="B278" s="854">
        <v>44773</v>
      </c>
      <c r="C278" s="642" t="s">
        <v>714</v>
      </c>
      <c r="D278" s="1013">
        <v>10089.799999999999</v>
      </c>
    </row>
    <row r="279" spans="1:4" s="894" customFormat="1" x14ac:dyDescent="0.35">
      <c r="A279" s="1018" t="s">
        <v>769</v>
      </c>
      <c r="B279" s="1019"/>
      <c r="C279" s="1018"/>
      <c r="D279" s="1020">
        <f>SUM(D277:D278)</f>
        <v>58646.34</v>
      </c>
    </row>
    <row r="280" spans="1:4" s="894" customFormat="1" x14ac:dyDescent="0.35">
      <c r="B280" s="853"/>
      <c r="D280" s="916"/>
    </row>
    <row r="281" spans="1:4" x14ac:dyDescent="0.35">
      <c r="A281" s="642" t="s">
        <v>757</v>
      </c>
      <c r="B281" s="854">
        <v>44773</v>
      </c>
      <c r="C281" s="642" t="s">
        <v>713</v>
      </c>
      <c r="D281" s="1013">
        <v>805</v>
      </c>
    </row>
    <row r="282" spans="1:4" x14ac:dyDescent="0.35">
      <c r="A282" s="642" t="s">
        <v>757</v>
      </c>
      <c r="B282" s="854">
        <v>44773</v>
      </c>
      <c r="C282" s="642" t="s">
        <v>707</v>
      </c>
      <c r="D282" s="1013">
        <v>156930</v>
      </c>
    </row>
    <row r="283" spans="1:4" x14ac:dyDescent="0.35">
      <c r="A283" s="642" t="s">
        <v>757</v>
      </c>
      <c r="B283" s="854">
        <v>44773</v>
      </c>
      <c r="C283" s="642" t="s">
        <v>714</v>
      </c>
      <c r="D283" s="1013">
        <v>18207.5</v>
      </c>
    </row>
    <row r="284" spans="1:4" s="894" customFormat="1" x14ac:dyDescent="0.35">
      <c r="A284" s="1018" t="s">
        <v>769</v>
      </c>
      <c r="B284" s="1019"/>
      <c r="C284" s="1018"/>
      <c r="D284" s="1020">
        <f>SUM(D281:D283)</f>
        <v>175942.5</v>
      </c>
    </row>
    <row r="285" spans="1:4" s="894" customFormat="1" x14ac:dyDescent="0.35">
      <c r="B285" s="853"/>
      <c r="D285" s="916"/>
    </row>
    <row r="286" spans="1:4" x14ac:dyDescent="0.35">
      <c r="A286" s="642" t="s">
        <v>758</v>
      </c>
      <c r="B286" s="854">
        <v>44773</v>
      </c>
      <c r="C286" s="642" t="s">
        <v>709</v>
      </c>
      <c r="D286" s="1013">
        <v>61848.74</v>
      </c>
    </row>
    <row r="287" spans="1:4" s="894" customFormat="1" x14ac:dyDescent="0.35">
      <c r="A287" s="1018" t="s">
        <v>769</v>
      </c>
      <c r="B287" s="1019"/>
      <c r="C287" s="1018"/>
      <c r="D287" s="1020">
        <f>SUM(D286)</f>
        <v>61848.74</v>
      </c>
    </row>
    <row r="288" spans="1:4" s="894" customFormat="1" x14ac:dyDescent="0.35">
      <c r="B288" s="853"/>
      <c r="D288" s="916"/>
    </row>
    <row r="289" spans="1:4" x14ac:dyDescent="0.35">
      <c r="A289" s="642" t="s">
        <v>759</v>
      </c>
      <c r="B289" s="854">
        <v>44773</v>
      </c>
      <c r="C289" s="642" t="s">
        <v>714</v>
      </c>
      <c r="D289" s="1013">
        <v>1886640.2</v>
      </c>
    </row>
    <row r="290" spans="1:4" x14ac:dyDescent="0.35">
      <c r="A290" s="642" t="s">
        <v>759</v>
      </c>
      <c r="B290" s="854">
        <v>44773</v>
      </c>
      <c r="C290" s="642" t="s">
        <v>712</v>
      </c>
      <c r="D290" s="1013">
        <v>5075.2</v>
      </c>
    </row>
    <row r="291" spans="1:4" x14ac:dyDescent="0.35">
      <c r="A291" s="642" t="s">
        <v>759</v>
      </c>
      <c r="B291" s="854">
        <v>44773</v>
      </c>
      <c r="C291" s="642" t="s">
        <v>719</v>
      </c>
      <c r="D291" s="1013">
        <v>61084.9</v>
      </c>
    </row>
    <row r="292" spans="1:4" x14ac:dyDescent="0.35">
      <c r="A292" s="642" t="s">
        <v>759</v>
      </c>
      <c r="B292" s="854">
        <v>44773</v>
      </c>
      <c r="C292" s="642" t="s">
        <v>713</v>
      </c>
      <c r="D292" s="1013">
        <v>54869.4</v>
      </c>
    </row>
    <row r="293" spans="1:4" x14ac:dyDescent="0.35">
      <c r="A293" s="642" t="s">
        <v>759</v>
      </c>
      <c r="B293" s="854">
        <v>44773</v>
      </c>
      <c r="C293" s="642" t="s">
        <v>707</v>
      </c>
      <c r="D293" s="1013">
        <v>4285742</v>
      </c>
    </row>
    <row r="294" spans="1:4" x14ac:dyDescent="0.35">
      <c r="A294" s="642" t="s">
        <v>759</v>
      </c>
      <c r="B294" s="854">
        <v>44773</v>
      </c>
      <c r="C294" s="642" t="s">
        <v>709</v>
      </c>
      <c r="D294" s="1013">
        <v>313494.15999999997</v>
      </c>
    </row>
    <row r="295" spans="1:4" s="894" customFormat="1" x14ac:dyDescent="0.35">
      <c r="A295" s="1018" t="s">
        <v>769</v>
      </c>
      <c r="B295" s="1019"/>
      <c r="C295" s="1018"/>
      <c r="D295" s="1020">
        <f>SUM(D289:D294)</f>
        <v>6606905.8599999994</v>
      </c>
    </row>
    <row r="296" spans="1:4" s="894" customFormat="1" x14ac:dyDescent="0.35">
      <c r="B296" s="853"/>
      <c r="D296" s="916"/>
    </row>
    <row r="297" spans="1:4" x14ac:dyDescent="0.35">
      <c r="A297" s="642" t="s">
        <v>761</v>
      </c>
      <c r="B297" s="854">
        <v>44773</v>
      </c>
      <c r="C297" s="642" t="s">
        <v>707</v>
      </c>
      <c r="D297" s="1013">
        <v>8749</v>
      </c>
    </row>
    <row r="298" spans="1:4" s="894" customFormat="1" x14ac:dyDescent="0.35">
      <c r="A298" s="1018" t="s">
        <v>769</v>
      </c>
      <c r="B298" s="1019"/>
      <c r="C298" s="1018"/>
      <c r="D298" s="1020">
        <f>SUM(D297)</f>
        <v>8749</v>
      </c>
    </row>
    <row r="299" spans="1:4" s="894" customFormat="1" x14ac:dyDescent="0.35">
      <c r="B299" s="853"/>
      <c r="D299" s="916"/>
    </row>
    <row r="300" spans="1:4" x14ac:dyDescent="0.35">
      <c r="A300" s="642" t="s">
        <v>762</v>
      </c>
      <c r="B300" s="854">
        <v>44773</v>
      </c>
      <c r="C300" s="642" t="s">
        <v>707</v>
      </c>
      <c r="D300" s="1013">
        <v>7752</v>
      </c>
    </row>
    <row r="301" spans="1:4" s="894" customFormat="1" x14ac:dyDescent="0.35">
      <c r="A301" s="1018" t="s">
        <v>769</v>
      </c>
      <c r="B301" s="1019"/>
      <c r="C301" s="1018"/>
      <c r="D301" s="1020">
        <f>SUM(D300)</f>
        <v>7752</v>
      </c>
    </row>
    <row r="302" spans="1:4" s="894" customFormat="1" x14ac:dyDescent="0.35">
      <c r="A302" s="642"/>
      <c r="B302" s="854"/>
      <c r="C302" s="642"/>
      <c r="D302" s="1013"/>
    </row>
    <row r="303" spans="1:4" x14ac:dyDescent="0.35">
      <c r="A303" s="642" t="s">
        <v>763</v>
      </c>
      <c r="B303" s="854">
        <v>44773</v>
      </c>
      <c r="C303" s="642" t="s">
        <v>714</v>
      </c>
      <c r="D303" s="1013">
        <v>49011.4</v>
      </c>
    </row>
    <row r="304" spans="1:4" x14ac:dyDescent="0.35">
      <c r="A304" s="642" t="s">
        <v>763</v>
      </c>
      <c r="B304" s="854">
        <v>44773</v>
      </c>
      <c r="C304" s="642" t="s">
        <v>724</v>
      </c>
      <c r="D304" s="1013">
        <v>1796.11</v>
      </c>
    </row>
    <row r="305" spans="1:4" x14ac:dyDescent="0.35">
      <c r="A305" s="642" t="s">
        <v>763</v>
      </c>
      <c r="B305" s="854">
        <v>44773</v>
      </c>
      <c r="C305" s="642" t="s">
        <v>709</v>
      </c>
      <c r="D305" s="1013">
        <v>5581.3</v>
      </c>
    </row>
    <row r="306" spans="1:4" x14ac:dyDescent="0.35">
      <c r="A306" s="642" t="s">
        <v>763</v>
      </c>
      <c r="B306" s="854">
        <v>44773</v>
      </c>
      <c r="C306" s="642" t="s">
        <v>713</v>
      </c>
      <c r="D306" s="1013">
        <v>877.5</v>
      </c>
    </row>
    <row r="307" spans="1:4" x14ac:dyDescent="0.35">
      <c r="A307" s="642" t="s">
        <v>763</v>
      </c>
      <c r="B307" s="854">
        <v>44773</v>
      </c>
      <c r="C307" s="642" t="s">
        <v>707</v>
      </c>
      <c r="D307" s="1013">
        <v>187040</v>
      </c>
    </row>
    <row r="308" spans="1:4" x14ac:dyDescent="0.35">
      <c r="A308" s="642" t="s">
        <v>763</v>
      </c>
      <c r="B308" s="854">
        <v>44773</v>
      </c>
      <c r="C308" s="642" t="s">
        <v>770</v>
      </c>
      <c r="D308" s="1013">
        <v>0</v>
      </c>
    </row>
    <row r="309" spans="1:4" s="894" customFormat="1" x14ac:dyDescent="0.35">
      <c r="A309" s="1018" t="s">
        <v>769</v>
      </c>
      <c r="B309" s="1019"/>
      <c r="C309" s="1018"/>
      <c r="D309" s="1020">
        <f>SUM(D303:D308)</f>
        <v>244306.31</v>
      </c>
    </row>
    <row r="310" spans="1:4" s="894" customFormat="1" x14ac:dyDescent="0.35">
      <c r="B310" s="853"/>
      <c r="D310" s="916"/>
    </row>
    <row r="311" spans="1:4" x14ac:dyDescent="0.35">
      <c r="A311" s="894" t="s">
        <v>764</v>
      </c>
      <c r="B311" s="853">
        <v>44773</v>
      </c>
      <c r="C311" s="894" t="s">
        <v>714</v>
      </c>
      <c r="D311" s="916">
        <v>1088</v>
      </c>
    </row>
    <row r="312" spans="1:4" x14ac:dyDescent="0.35">
      <c r="A312" s="894" t="s">
        <v>764</v>
      </c>
      <c r="B312" s="853">
        <v>44773</v>
      </c>
      <c r="C312" s="894" t="s">
        <v>713</v>
      </c>
      <c r="D312" s="916">
        <v>340</v>
      </c>
    </row>
    <row r="313" spans="1:4" x14ac:dyDescent="0.35">
      <c r="A313" s="894" t="s">
        <v>764</v>
      </c>
      <c r="B313" s="853">
        <v>44773</v>
      </c>
      <c r="C313" s="894" t="s">
        <v>707</v>
      </c>
      <c r="D313" s="916">
        <v>7947</v>
      </c>
    </row>
    <row r="314" spans="1:4" s="894" customFormat="1" x14ac:dyDescent="0.35">
      <c r="A314" s="683" t="s">
        <v>769</v>
      </c>
      <c r="B314" s="1017"/>
      <c r="C314" s="683"/>
      <c r="D314" s="917">
        <f>SUM(D311:D313)</f>
        <v>9375</v>
      </c>
    </row>
    <row r="315" spans="1:4" s="894" customFormat="1" x14ac:dyDescent="0.35">
      <c r="B315" s="853"/>
      <c r="D315" s="916"/>
    </row>
    <row r="316" spans="1:4" x14ac:dyDescent="0.35">
      <c r="A316" s="642" t="s">
        <v>765</v>
      </c>
      <c r="B316" s="854">
        <v>44773</v>
      </c>
      <c r="C316" s="642" t="s">
        <v>713</v>
      </c>
      <c r="D316" s="1013">
        <v>15496.5</v>
      </c>
    </row>
    <row r="317" spans="1:4" x14ac:dyDescent="0.35">
      <c r="A317" s="642" t="s">
        <v>765</v>
      </c>
      <c r="B317" s="854">
        <v>44773</v>
      </c>
      <c r="C317" s="642" t="s">
        <v>709</v>
      </c>
      <c r="D317" s="1013">
        <v>43350.75</v>
      </c>
    </row>
    <row r="318" spans="1:4" x14ac:dyDescent="0.35">
      <c r="A318" s="642" t="s">
        <v>765</v>
      </c>
      <c r="B318" s="854">
        <v>44773</v>
      </c>
      <c r="C318" s="642" t="s">
        <v>714</v>
      </c>
      <c r="D318" s="1013">
        <v>265977.3</v>
      </c>
    </row>
    <row r="319" spans="1:4" x14ac:dyDescent="0.35">
      <c r="A319" s="642" t="s">
        <v>765</v>
      </c>
      <c r="B319" s="854">
        <v>44773</v>
      </c>
      <c r="C319" s="642" t="s">
        <v>712</v>
      </c>
      <c r="D319" s="1013">
        <v>1779.5</v>
      </c>
    </row>
    <row r="320" spans="1:4" x14ac:dyDescent="0.35">
      <c r="A320" s="642" t="s">
        <v>765</v>
      </c>
      <c r="B320" s="854">
        <v>44773</v>
      </c>
      <c r="C320" s="642" t="s">
        <v>719</v>
      </c>
      <c r="D320" s="1013">
        <v>24200.51</v>
      </c>
    </row>
    <row r="321" spans="1:4" x14ac:dyDescent="0.35">
      <c r="A321" s="642" t="s">
        <v>765</v>
      </c>
      <c r="B321" s="854">
        <v>44773</v>
      </c>
      <c r="C321" s="642" t="s">
        <v>707</v>
      </c>
      <c r="D321" s="1013">
        <v>445080</v>
      </c>
    </row>
    <row r="322" spans="1:4" s="894" customFormat="1" x14ac:dyDescent="0.35">
      <c r="A322" s="1018" t="s">
        <v>769</v>
      </c>
      <c r="B322" s="1019"/>
      <c r="C322" s="1018"/>
      <c r="D322" s="1020">
        <f>SUM(D316:D321)</f>
        <v>795884.56</v>
      </c>
    </row>
    <row r="323" spans="1:4" s="894" customFormat="1" x14ac:dyDescent="0.35">
      <c r="B323" s="853"/>
      <c r="D323" s="916"/>
    </row>
    <row r="324" spans="1:4" x14ac:dyDescent="0.35">
      <c r="A324" s="642" t="s">
        <v>766</v>
      </c>
      <c r="B324" s="854">
        <v>44773</v>
      </c>
      <c r="C324" s="642" t="s">
        <v>713</v>
      </c>
      <c r="D324" s="1013">
        <v>2065.5</v>
      </c>
    </row>
    <row r="325" spans="1:4" x14ac:dyDescent="0.35">
      <c r="A325" s="642" t="s">
        <v>766</v>
      </c>
      <c r="B325" s="854">
        <v>44773</v>
      </c>
      <c r="C325" s="642" t="s">
        <v>707</v>
      </c>
      <c r="D325" s="1013">
        <v>357766</v>
      </c>
    </row>
    <row r="326" spans="1:4" x14ac:dyDescent="0.35">
      <c r="A326" s="642" t="s">
        <v>766</v>
      </c>
      <c r="B326" s="854">
        <v>44773</v>
      </c>
      <c r="C326" s="642" t="s">
        <v>714</v>
      </c>
      <c r="D326" s="1013">
        <v>146936.1</v>
      </c>
    </row>
    <row r="327" spans="1:4" x14ac:dyDescent="0.35">
      <c r="A327" s="642" t="s">
        <v>766</v>
      </c>
      <c r="B327" s="854">
        <v>44773</v>
      </c>
      <c r="C327" s="642" t="s">
        <v>712</v>
      </c>
      <c r="D327" s="1013">
        <v>279.5</v>
      </c>
    </row>
    <row r="328" spans="1:4" s="894" customFormat="1" x14ac:dyDescent="0.35">
      <c r="A328" s="1018" t="s">
        <v>769</v>
      </c>
      <c r="B328" s="1019"/>
      <c r="C328" s="1018"/>
      <c r="D328" s="1020">
        <f>SUM(D324:D327)</f>
        <v>507047.1</v>
      </c>
    </row>
    <row r="329" spans="1:4" s="894" customFormat="1" x14ac:dyDescent="0.35">
      <c r="B329" s="853"/>
      <c r="D329" s="916"/>
    </row>
    <row r="330" spans="1:4" x14ac:dyDescent="0.35">
      <c r="A330" s="642" t="s">
        <v>767</v>
      </c>
      <c r="B330" s="854">
        <v>44773</v>
      </c>
      <c r="C330" s="642" t="s">
        <v>707</v>
      </c>
      <c r="D330" s="1013">
        <v>21858</v>
      </c>
    </row>
    <row r="331" spans="1:4" x14ac:dyDescent="0.35">
      <c r="A331" s="642" t="s">
        <v>767</v>
      </c>
      <c r="B331" s="854">
        <v>44773</v>
      </c>
      <c r="C331" s="642" t="s">
        <v>709</v>
      </c>
      <c r="D331" s="1013">
        <v>18615.490000000002</v>
      </c>
    </row>
    <row r="332" spans="1:4" s="894" customFormat="1" x14ac:dyDescent="0.35">
      <c r="A332" s="1018" t="s">
        <v>769</v>
      </c>
      <c r="B332" s="1019"/>
      <c r="C332" s="1018"/>
      <c r="D332" s="1020">
        <f>SUM(D330:D331)</f>
        <v>40473.490000000005</v>
      </c>
    </row>
    <row r="333" spans="1:4" s="894" customFormat="1" x14ac:dyDescent="0.35">
      <c r="A333" s="642"/>
      <c r="B333" s="854"/>
      <c r="C333" s="642"/>
      <c r="D333" s="1013"/>
    </row>
    <row r="334" spans="1:4" x14ac:dyDescent="0.35">
      <c r="A334" s="642" t="s">
        <v>768</v>
      </c>
      <c r="B334" s="854">
        <v>44773</v>
      </c>
      <c r="C334" s="642" t="s">
        <v>719</v>
      </c>
      <c r="D334" s="1013">
        <v>19511.669999999998</v>
      </c>
    </row>
    <row r="335" spans="1:4" x14ac:dyDescent="0.35">
      <c r="A335" s="642" t="s">
        <v>768</v>
      </c>
      <c r="B335" s="854">
        <v>44773</v>
      </c>
      <c r="C335" s="642" t="s">
        <v>713</v>
      </c>
      <c r="D335" s="1013">
        <v>1246</v>
      </c>
    </row>
    <row r="336" spans="1:4" x14ac:dyDescent="0.35">
      <c r="A336" s="642" t="s">
        <v>768</v>
      </c>
      <c r="B336" s="854">
        <v>44773</v>
      </c>
      <c r="C336" s="642" t="s">
        <v>714</v>
      </c>
      <c r="D336" s="1013">
        <v>108293.2</v>
      </c>
    </row>
    <row r="337" spans="1:6" x14ac:dyDescent="0.35">
      <c r="A337" s="642" t="s">
        <v>768</v>
      </c>
      <c r="B337" s="854">
        <v>44773</v>
      </c>
      <c r="C337" s="642" t="s">
        <v>707</v>
      </c>
      <c r="D337" s="1013">
        <v>169204</v>
      </c>
    </row>
    <row r="338" spans="1:6" s="894" customFormat="1" x14ac:dyDescent="0.35">
      <c r="A338" s="1018" t="s">
        <v>769</v>
      </c>
      <c r="B338" s="1019"/>
      <c r="C338" s="1018"/>
      <c r="D338" s="1020">
        <f>SUM(D334:D337)</f>
        <v>298254.87</v>
      </c>
    </row>
    <row r="339" spans="1:6" x14ac:dyDescent="0.35">
      <c r="A339" s="683" t="s">
        <v>665</v>
      </c>
      <c r="B339" s="683"/>
      <c r="C339" s="683"/>
      <c r="D339" s="917">
        <f>SUM(D2:D338)/2</f>
        <v>85851429.200000018</v>
      </c>
      <c r="F339" s="327"/>
    </row>
    <row r="341" spans="1:6" x14ac:dyDescent="0.35">
      <c r="D341" s="916">
        <v>336708.7</v>
      </c>
    </row>
    <row r="342" spans="1:6" x14ac:dyDescent="0.35">
      <c r="D342" s="916">
        <f>D339-D341</f>
        <v>85514720.500000015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D755-8CA8-4C42-BB7C-F0E37BCC82A8}">
  <dimension ref="A1:B106"/>
  <sheetViews>
    <sheetView workbookViewId="0">
      <selection activeCell="E10" sqref="E10"/>
    </sheetView>
  </sheetViews>
  <sheetFormatPr defaultRowHeight="14.5" x14ac:dyDescent="0.35"/>
  <cols>
    <col min="1" max="1" width="56.6328125" customWidth="1"/>
    <col min="2" max="2" width="22.08984375" customWidth="1"/>
  </cols>
  <sheetData>
    <row r="1" spans="1:2" ht="18.5" x14ac:dyDescent="0.45">
      <c r="A1" t="s">
        <v>361</v>
      </c>
      <c r="B1" s="782">
        <v>44794323.866600081</v>
      </c>
    </row>
    <row r="2" spans="1:2" ht="18.5" x14ac:dyDescent="0.45">
      <c r="A2" t="s">
        <v>25</v>
      </c>
      <c r="B2" s="782">
        <v>28154758.250000004</v>
      </c>
    </row>
    <row r="3" spans="1:2" ht="18.5" x14ac:dyDescent="0.45">
      <c r="A3" t="s">
        <v>363</v>
      </c>
      <c r="B3" s="782">
        <v>16764178.320000041</v>
      </c>
    </row>
    <row r="4" spans="1:2" ht="18.5" x14ac:dyDescent="0.45">
      <c r="A4" t="s">
        <v>26</v>
      </c>
      <c r="B4" s="782">
        <v>16442347.600000013</v>
      </c>
    </row>
    <row r="5" spans="1:2" ht="18.5" x14ac:dyDescent="0.45">
      <c r="A5" t="s">
        <v>31</v>
      </c>
      <c r="B5" s="782">
        <v>12550817.47000001</v>
      </c>
    </row>
    <row r="6" spans="1:2" ht="18.5" x14ac:dyDescent="0.45">
      <c r="A6" t="s">
        <v>341</v>
      </c>
      <c r="B6" s="782">
        <v>7374367.4260000121</v>
      </c>
    </row>
    <row r="7" spans="1:2" ht="18.5" x14ac:dyDescent="0.45">
      <c r="A7" t="s">
        <v>21</v>
      </c>
      <c r="B7" s="782">
        <v>5390461.2399999946</v>
      </c>
    </row>
    <row r="8" spans="1:2" ht="18.5" x14ac:dyDescent="0.45">
      <c r="A8" t="s">
        <v>526</v>
      </c>
      <c r="B8" s="782">
        <v>5211181.0000000009</v>
      </c>
    </row>
    <row r="9" spans="1:2" ht="18.5" x14ac:dyDescent="0.45">
      <c r="A9" t="s">
        <v>364</v>
      </c>
      <c r="B9" s="782">
        <v>5202357.3340000175</v>
      </c>
    </row>
    <row r="10" spans="1:2" ht="18.5" x14ac:dyDescent="0.45">
      <c r="A10" t="s">
        <v>308</v>
      </c>
      <c r="B10" s="782">
        <v>3541875.5299999975</v>
      </c>
    </row>
    <row r="11" spans="1:2" ht="18.5" x14ac:dyDescent="0.45">
      <c r="A11" t="s">
        <v>340</v>
      </c>
      <c r="B11" s="782">
        <v>3214246.7119999994</v>
      </c>
    </row>
    <row r="12" spans="1:2" ht="18.5" x14ac:dyDescent="0.45">
      <c r="A12" t="s">
        <v>366</v>
      </c>
      <c r="B12" s="782">
        <v>2951264.7200000007</v>
      </c>
    </row>
    <row r="13" spans="1:2" ht="18.5" x14ac:dyDescent="0.45">
      <c r="A13" t="s">
        <v>57</v>
      </c>
      <c r="B13" s="782">
        <v>2643160.7200000016</v>
      </c>
    </row>
    <row r="14" spans="1:2" ht="18.5" x14ac:dyDescent="0.45">
      <c r="A14" t="s">
        <v>335</v>
      </c>
      <c r="B14" s="782">
        <v>2363765.7200000091</v>
      </c>
    </row>
    <row r="15" spans="1:2" ht="18.5" x14ac:dyDescent="0.45">
      <c r="A15" t="s">
        <v>36</v>
      </c>
      <c r="B15" s="782">
        <v>2362949.3199999966</v>
      </c>
    </row>
    <row r="16" spans="1:2" ht="18.5" x14ac:dyDescent="0.45">
      <c r="A16" t="s">
        <v>60</v>
      </c>
      <c r="B16" s="782">
        <v>2328905.4090000018</v>
      </c>
    </row>
    <row r="17" spans="1:2" ht="18.5" x14ac:dyDescent="0.45">
      <c r="A17" t="s">
        <v>48</v>
      </c>
      <c r="B17" s="782">
        <v>2183389.189999999</v>
      </c>
    </row>
    <row r="18" spans="1:2" ht="18.5" x14ac:dyDescent="0.45">
      <c r="A18" t="s">
        <v>42</v>
      </c>
      <c r="B18" s="782">
        <v>1958029.2700000012</v>
      </c>
    </row>
    <row r="19" spans="1:2" ht="18.5" x14ac:dyDescent="0.45">
      <c r="A19" t="s">
        <v>71</v>
      </c>
      <c r="B19" s="782">
        <v>1930502.889999999</v>
      </c>
    </row>
    <row r="20" spans="1:2" ht="18.5" x14ac:dyDescent="0.45">
      <c r="A20" t="s">
        <v>362</v>
      </c>
      <c r="B20" s="782">
        <v>1882278.0899999987</v>
      </c>
    </row>
    <row r="21" spans="1:2" ht="18.5" x14ac:dyDescent="0.45">
      <c r="A21" t="s">
        <v>37</v>
      </c>
      <c r="B21" s="782">
        <v>1830046.5699999968</v>
      </c>
    </row>
    <row r="22" spans="1:2" ht="18.5" x14ac:dyDescent="0.45">
      <c r="A22" t="s">
        <v>66</v>
      </c>
      <c r="B22" s="782">
        <v>1752297.9500000002</v>
      </c>
    </row>
    <row r="23" spans="1:2" ht="18.5" x14ac:dyDescent="0.45">
      <c r="A23" t="s">
        <v>58</v>
      </c>
      <c r="B23" s="782">
        <v>1614021.2399999974</v>
      </c>
    </row>
    <row r="24" spans="1:2" ht="18.5" x14ac:dyDescent="0.45">
      <c r="A24" t="s">
        <v>61</v>
      </c>
      <c r="B24" s="782">
        <v>1451349.6299999997</v>
      </c>
    </row>
    <row r="25" spans="1:2" ht="18.5" x14ac:dyDescent="0.45">
      <c r="A25" t="s">
        <v>23</v>
      </c>
      <c r="B25" s="782">
        <v>1441812.7400000014</v>
      </c>
    </row>
    <row r="26" spans="1:2" ht="18.5" x14ac:dyDescent="0.45">
      <c r="A26" t="s">
        <v>27</v>
      </c>
      <c r="B26" s="782">
        <v>1315460.3599999987</v>
      </c>
    </row>
    <row r="27" spans="1:2" ht="18.5" x14ac:dyDescent="0.45">
      <c r="A27" t="s">
        <v>500</v>
      </c>
      <c r="B27" s="782">
        <v>1267631.9900000002</v>
      </c>
    </row>
    <row r="28" spans="1:2" ht="18.5" x14ac:dyDescent="0.45">
      <c r="A28" t="s">
        <v>368</v>
      </c>
      <c r="B28" s="782">
        <v>1018483.2200000023</v>
      </c>
    </row>
    <row r="29" spans="1:2" ht="18.5" x14ac:dyDescent="0.45">
      <c r="A29" t="s">
        <v>45</v>
      </c>
      <c r="B29" s="782">
        <v>1002369.9183000001</v>
      </c>
    </row>
    <row r="30" spans="1:2" ht="18.5" x14ac:dyDescent="0.45">
      <c r="A30" t="s">
        <v>185</v>
      </c>
      <c r="B30" s="782">
        <v>663774.71000000322</v>
      </c>
    </row>
    <row r="31" spans="1:2" ht="18.5" x14ac:dyDescent="0.45">
      <c r="A31" t="s">
        <v>75</v>
      </c>
      <c r="B31" s="476">
        <v>611847.80000000156</v>
      </c>
    </row>
    <row r="32" spans="1:2" ht="18.5" x14ac:dyDescent="0.45">
      <c r="A32" t="s">
        <v>41</v>
      </c>
      <c r="B32" s="782">
        <v>604156.05999999959</v>
      </c>
    </row>
    <row r="33" spans="1:2" ht="18.5" x14ac:dyDescent="0.45">
      <c r="A33" t="s">
        <v>56</v>
      </c>
      <c r="B33" s="782">
        <v>583039.99999999953</v>
      </c>
    </row>
    <row r="34" spans="1:2" ht="18.5" x14ac:dyDescent="0.45">
      <c r="A34" t="s">
        <v>39</v>
      </c>
      <c r="B34" s="782">
        <v>509456.42999999959</v>
      </c>
    </row>
    <row r="35" spans="1:2" ht="18.5" x14ac:dyDescent="0.45">
      <c r="A35" t="s">
        <v>50</v>
      </c>
      <c r="B35" s="782">
        <v>441794.87999999995</v>
      </c>
    </row>
    <row r="36" spans="1:2" ht="18.5" x14ac:dyDescent="0.45">
      <c r="A36" t="s">
        <v>509</v>
      </c>
      <c r="B36" s="782">
        <v>416348.50000000006</v>
      </c>
    </row>
    <row r="37" spans="1:2" ht="18.5" x14ac:dyDescent="0.45">
      <c r="A37" t="s">
        <v>466</v>
      </c>
      <c r="B37" s="782">
        <v>404827.07000000007</v>
      </c>
    </row>
    <row r="38" spans="1:2" ht="18.5" x14ac:dyDescent="0.45">
      <c r="A38" t="s">
        <v>483</v>
      </c>
      <c r="B38" s="782">
        <v>317412.57999999996</v>
      </c>
    </row>
    <row r="39" spans="1:2" ht="18.5" x14ac:dyDescent="0.45">
      <c r="A39" t="s">
        <v>52</v>
      </c>
      <c r="B39" s="782">
        <v>313552.88999999996</v>
      </c>
    </row>
    <row r="40" spans="1:2" ht="18.5" x14ac:dyDescent="0.45">
      <c r="A40" t="s">
        <v>334</v>
      </c>
      <c r="B40" s="782">
        <v>297466.99999999837</v>
      </c>
    </row>
    <row r="41" spans="1:2" ht="18.5" x14ac:dyDescent="0.45">
      <c r="A41" t="s">
        <v>28</v>
      </c>
      <c r="B41" s="782">
        <v>284998.25000000157</v>
      </c>
    </row>
    <row r="42" spans="1:2" ht="18.5" x14ac:dyDescent="0.45">
      <c r="A42" t="s">
        <v>501</v>
      </c>
      <c r="B42" s="782">
        <v>252018.38000000807</v>
      </c>
    </row>
    <row r="43" spans="1:2" ht="18.5" x14ac:dyDescent="0.45">
      <c r="A43" t="s">
        <v>85</v>
      </c>
      <c r="B43" s="782">
        <v>248036.99999999977</v>
      </c>
    </row>
    <row r="44" spans="1:2" ht="18.5" x14ac:dyDescent="0.45">
      <c r="A44" t="s">
        <v>367</v>
      </c>
      <c r="B44" s="782">
        <v>244306.30999999942</v>
      </c>
    </row>
    <row r="45" spans="1:2" ht="18.5" x14ac:dyDescent="0.45">
      <c r="A45" t="s">
        <v>86</v>
      </c>
      <c r="B45" s="782">
        <v>224808.00000000012</v>
      </c>
    </row>
    <row r="46" spans="1:2" ht="18.5" x14ac:dyDescent="0.45">
      <c r="A46" t="s">
        <v>46</v>
      </c>
      <c r="B46" s="782">
        <v>177581.3599999999</v>
      </c>
    </row>
    <row r="47" spans="1:2" ht="18.5" x14ac:dyDescent="0.45">
      <c r="A47" t="s">
        <v>65</v>
      </c>
      <c r="B47" s="782">
        <v>175942.4999999998</v>
      </c>
    </row>
    <row r="48" spans="1:2" ht="18.5" x14ac:dyDescent="0.45">
      <c r="A48" t="s">
        <v>81</v>
      </c>
      <c r="B48" s="782">
        <v>160067.64999999997</v>
      </c>
    </row>
    <row r="49" spans="1:2" ht="18.5" x14ac:dyDescent="0.45">
      <c r="A49" t="s">
        <v>70</v>
      </c>
      <c r="B49" s="782">
        <v>148998.68000006606</v>
      </c>
    </row>
    <row r="50" spans="1:2" ht="18.5" x14ac:dyDescent="0.45">
      <c r="A50" t="s">
        <v>73</v>
      </c>
      <c r="B50" s="782">
        <v>145921.59999999974</v>
      </c>
    </row>
    <row r="51" spans="1:2" ht="18.5" x14ac:dyDescent="0.45">
      <c r="A51" t="s">
        <v>504</v>
      </c>
      <c r="B51" s="782">
        <v>136827.66</v>
      </c>
    </row>
    <row r="52" spans="1:2" ht="18.5" x14ac:dyDescent="0.45">
      <c r="A52" t="s">
        <v>186</v>
      </c>
      <c r="B52" s="782">
        <v>95880.570000001026</v>
      </c>
    </row>
    <row r="53" spans="1:2" ht="18.5" x14ac:dyDescent="0.45">
      <c r="A53" t="s">
        <v>459</v>
      </c>
      <c r="B53" s="782">
        <v>94994.15</v>
      </c>
    </row>
    <row r="54" spans="1:2" ht="18.5" x14ac:dyDescent="0.45">
      <c r="A54" t="s">
        <v>503</v>
      </c>
      <c r="B54" s="782">
        <v>73202.629999999976</v>
      </c>
    </row>
    <row r="55" spans="1:2" ht="18.5" x14ac:dyDescent="0.45">
      <c r="A55" t="s">
        <v>68</v>
      </c>
      <c r="B55" s="476">
        <v>65043.219999999259</v>
      </c>
    </row>
    <row r="56" spans="1:2" ht="18.5" x14ac:dyDescent="0.45">
      <c r="A56" t="s">
        <v>525</v>
      </c>
      <c r="B56" s="782">
        <v>64989.420000000006</v>
      </c>
    </row>
    <row r="57" spans="1:2" ht="18.5" x14ac:dyDescent="0.45">
      <c r="A57" t="s">
        <v>511</v>
      </c>
      <c r="B57" s="782">
        <v>62215.070000000036</v>
      </c>
    </row>
    <row r="58" spans="1:2" ht="18.5" x14ac:dyDescent="0.45">
      <c r="A58" t="s">
        <v>507</v>
      </c>
      <c r="B58" s="782">
        <v>55637.160000000062</v>
      </c>
    </row>
    <row r="59" spans="1:2" ht="18.5" x14ac:dyDescent="0.45">
      <c r="A59" t="s">
        <v>485</v>
      </c>
      <c r="B59" s="782">
        <v>41335.599999999904</v>
      </c>
    </row>
    <row r="60" spans="1:2" ht="18.5" x14ac:dyDescent="0.45">
      <c r="A60" t="s">
        <v>506</v>
      </c>
      <c r="B60" s="782">
        <v>32572.499999999818</v>
      </c>
    </row>
    <row r="61" spans="1:2" ht="18.5" x14ac:dyDescent="0.45">
      <c r="A61" t="s">
        <v>465</v>
      </c>
      <c r="B61" s="782">
        <v>30474.279999999984</v>
      </c>
    </row>
    <row r="62" spans="1:2" ht="18.5" x14ac:dyDescent="0.45">
      <c r="A62" t="s">
        <v>336</v>
      </c>
      <c r="B62" s="782">
        <v>23503.470000000343</v>
      </c>
    </row>
    <row r="63" spans="1:2" ht="18.5" x14ac:dyDescent="0.45">
      <c r="A63" t="s">
        <v>342</v>
      </c>
      <c r="B63" s="782">
        <v>18446.389999999974</v>
      </c>
    </row>
    <row r="64" spans="1:2" ht="18.5" x14ac:dyDescent="0.45">
      <c r="A64" t="s">
        <v>59</v>
      </c>
      <c r="B64" s="782">
        <v>18435.299999999977</v>
      </c>
    </row>
    <row r="65" spans="1:2" ht="18.5" x14ac:dyDescent="0.45">
      <c r="A65" t="s">
        <v>480</v>
      </c>
      <c r="B65" s="782">
        <v>18381.950000000026</v>
      </c>
    </row>
    <row r="66" spans="1:2" ht="18.5" x14ac:dyDescent="0.45">
      <c r="A66" t="s">
        <v>487</v>
      </c>
      <c r="B66" s="782">
        <v>17873.900000000001</v>
      </c>
    </row>
    <row r="67" spans="1:2" ht="18.5" x14ac:dyDescent="0.45">
      <c r="A67" t="s">
        <v>44</v>
      </c>
      <c r="B67" s="782">
        <v>16268.819999999418</v>
      </c>
    </row>
    <row r="68" spans="1:2" ht="18.5" x14ac:dyDescent="0.45">
      <c r="A68" t="s">
        <v>88</v>
      </c>
      <c r="B68" s="782">
        <v>15396</v>
      </c>
    </row>
    <row r="69" spans="1:2" ht="18.5" x14ac:dyDescent="0.45">
      <c r="A69" t="s">
        <v>502</v>
      </c>
      <c r="B69" s="782">
        <v>8773.1399999999958</v>
      </c>
    </row>
    <row r="70" spans="1:2" ht="18.5" x14ac:dyDescent="0.45">
      <c r="A70" t="s">
        <v>512</v>
      </c>
      <c r="B70" s="782">
        <v>8626.7800000000752</v>
      </c>
    </row>
    <row r="71" spans="1:2" ht="18.5" x14ac:dyDescent="0.45">
      <c r="A71" t="s">
        <v>505</v>
      </c>
      <c r="B71" s="782">
        <v>8345.2899999999208</v>
      </c>
    </row>
    <row r="72" spans="1:2" ht="18.5" x14ac:dyDescent="0.45">
      <c r="A72" t="s">
        <v>369</v>
      </c>
      <c r="B72" s="782">
        <v>834.78</v>
      </c>
    </row>
    <row r="73" spans="1:2" ht="18.5" x14ac:dyDescent="0.45">
      <c r="A73" t="s">
        <v>508</v>
      </c>
      <c r="B73" s="782">
        <v>731.7</v>
      </c>
    </row>
    <row r="74" spans="1:2" ht="18.5" x14ac:dyDescent="0.45">
      <c r="A74" t="s">
        <v>51</v>
      </c>
      <c r="B74" s="782">
        <v>4.6566128730773926E-10</v>
      </c>
    </row>
    <row r="75" spans="1:2" ht="18.5" x14ac:dyDescent="0.45">
      <c r="A75" t="s">
        <v>486</v>
      </c>
      <c r="B75" s="782">
        <v>1.0913936421275139E-11</v>
      </c>
    </row>
    <row r="76" spans="1:2" ht="18.5" x14ac:dyDescent="0.45">
      <c r="A76" t="s">
        <v>461</v>
      </c>
      <c r="B76" s="782">
        <v>0</v>
      </c>
    </row>
    <row r="77" spans="1:2" ht="18.5" x14ac:dyDescent="0.45">
      <c r="A77" t="s">
        <v>463</v>
      </c>
      <c r="B77" s="782">
        <v>0</v>
      </c>
    </row>
    <row r="78" spans="1:2" ht="18.5" x14ac:dyDescent="0.45">
      <c r="A78" t="s">
        <v>484</v>
      </c>
      <c r="B78" s="782">
        <v>-4.5474735088646412E-13</v>
      </c>
    </row>
    <row r="79" spans="1:2" ht="18.5" x14ac:dyDescent="0.45">
      <c r="A79" t="s">
        <v>460</v>
      </c>
      <c r="B79" s="782">
        <v>-7.2759576141834259E-12</v>
      </c>
    </row>
    <row r="80" spans="1:2" ht="18.5" x14ac:dyDescent="0.45">
      <c r="A80" t="s">
        <v>510</v>
      </c>
      <c r="B80" s="782">
        <v>-1.4551915228366852E-11</v>
      </c>
    </row>
    <row r="81" spans="1:2" ht="18.5" x14ac:dyDescent="0.45">
      <c r="A81" t="s">
        <v>197</v>
      </c>
      <c r="B81" s="782">
        <v>-2.9103830456733704E-11</v>
      </c>
    </row>
    <row r="82" spans="1:2" ht="18.5" x14ac:dyDescent="0.45">
      <c r="A82" t="s">
        <v>482</v>
      </c>
      <c r="B82" s="782">
        <v>-2.9103830456733704E-11</v>
      </c>
    </row>
    <row r="83" spans="1:2" ht="18.5" x14ac:dyDescent="0.45">
      <c r="A83" t="s">
        <v>370</v>
      </c>
      <c r="B83" s="782">
        <v>-2.0000000009604264</v>
      </c>
    </row>
    <row r="84" spans="1:2" ht="18.5" x14ac:dyDescent="0.45">
      <c r="A84" t="s">
        <v>343</v>
      </c>
      <c r="B84" s="782">
        <v>-36.199999999837019</v>
      </c>
    </row>
    <row r="85" spans="1:2" ht="18.5" x14ac:dyDescent="0.45">
      <c r="A85" t="s">
        <v>481</v>
      </c>
      <c r="B85" s="782">
        <v>-133.74000000000706</v>
      </c>
    </row>
    <row r="86" spans="1:2" ht="18.5" x14ac:dyDescent="0.45">
      <c r="A86" t="s">
        <v>91</v>
      </c>
      <c r="B86" s="782">
        <v>-501.40999999968335</v>
      </c>
    </row>
    <row r="87" spans="1:2" ht="18.5" x14ac:dyDescent="0.45">
      <c r="A87" t="s">
        <v>80</v>
      </c>
      <c r="B87" s="782">
        <v>-2184.6839999999829</v>
      </c>
    </row>
    <row r="88" spans="1:2" ht="18.5" x14ac:dyDescent="0.45">
      <c r="A88" t="s">
        <v>189</v>
      </c>
      <c r="B88" s="782">
        <v>-2348.8999999994412</v>
      </c>
    </row>
    <row r="89" spans="1:2" ht="18.5" x14ac:dyDescent="0.45">
      <c r="A89" t="s">
        <v>417</v>
      </c>
      <c r="B89" s="782">
        <v>-2858.9200000000928</v>
      </c>
    </row>
    <row r="90" spans="1:2" ht="18.5" x14ac:dyDescent="0.45">
      <c r="A90" t="s">
        <v>89</v>
      </c>
      <c r="B90" s="782">
        <v>-4655.5600000000559</v>
      </c>
    </row>
    <row r="91" spans="1:2" ht="18.5" x14ac:dyDescent="0.45">
      <c r="A91" t="s">
        <v>63</v>
      </c>
      <c r="B91" s="782">
        <v>-4925.8499999995111</v>
      </c>
    </row>
    <row r="92" spans="1:2" ht="18.5" x14ac:dyDescent="0.45">
      <c r="A92" t="s">
        <v>84</v>
      </c>
      <c r="B92" s="782">
        <v>-5959.0299999996205</v>
      </c>
    </row>
    <row r="93" spans="1:2" ht="18.5" x14ac:dyDescent="0.45">
      <c r="A93" t="s">
        <v>76</v>
      </c>
      <c r="B93" s="782">
        <v>-6676.2799999998833</v>
      </c>
    </row>
    <row r="94" spans="1:2" ht="18.5" x14ac:dyDescent="0.45">
      <c r="A94" t="s">
        <v>309</v>
      </c>
      <c r="B94" s="782">
        <v>-19829.789999999994</v>
      </c>
    </row>
    <row r="95" spans="1:2" ht="18.5" x14ac:dyDescent="0.45">
      <c r="A95" t="s">
        <v>439</v>
      </c>
      <c r="B95" s="782">
        <v>-21803.759999999998</v>
      </c>
    </row>
    <row r="96" spans="1:2" ht="18.5" x14ac:dyDescent="0.45">
      <c r="A96" t="s">
        <v>191</v>
      </c>
      <c r="B96" s="782">
        <v>-29297.360000000015</v>
      </c>
    </row>
    <row r="97" spans="1:2" ht="18.5" x14ac:dyDescent="0.45">
      <c r="A97" t="s">
        <v>77</v>
      </c>
      <c r="B97" s="782">
        <v>-35689.800000000032</v>
      </c>
    </row>
    <row r="98" spans="1:2" ht="18.5" x14ac:dyDescent="0.45">
      <c r="A98" t="s">
        <v>435</v>
      </c>
      <c r="B98" s="782">
        <v>-39944.120000000003</v>
      </c>
    </row>
    <row r="99" spans="1:2" ht="18.5" x14ac:dyDescent="0.45">
      <c r="A99" t="s">
        <v>78</v>
      </c>
      <c r="B99" s="782">
        <v>-113497.31999998927</v>
      </c>
    </row>
    <row r="100" spans="1:2" ht="18.5" x14ac:dyDescent="0.45">
      <c r="A100" t="s">
        <v>194</v>
      </c>
      <c r="B100" s="782">
        <v>-115236.29000000001</v>
      </c>
    </row>
    <row r="101" spans="1:2" ht="18.5" x14ac:dyDescent="0.45">
      <c r="A101" t="s">
        <v>441</v>
      </c>
      <c r="B101" s="782">
        <v>-135954.03000000003</v>
      </c>
    </row>
    <row r="102" spans="1:2" ht="18.5" x14ac:dyDescent="0.45">
      <c r="A102" t="s">
        <v>371</v>
      </c>
      <c r="B102" s="782">
        <v>-207956.99000000008</v>
      </c>
    </row>
    <row r="103" spans="1:2" ht="18.5" x14ac:dyDescent="0.45">
      <c r="A103" t="s">
        <v>55</v>
      </c>
      <c r="B103" s="782">
        <v>-221089.2</v>
      </c>
    </row>
    <row r="104" spans="1:2" ht="18.5" x14ac:dyDescent="0.45">
      <c r="A104" t="s">
        <v>190</v>
      </c>
      <c r="B104" s="782">
        <v>-265954.98</v>
      </c>
    </row>
    <row r="105" spans="1:2" ht="18.5" x14ac:dyDescent="0.45">
      <c r="A105" t="s">
        <v>24</v>
      </c>
      <c r="B105" s="782">
        <v>-387552.07599999697</v>
      </c>
    </row>
    <row r="106" spans="1:2" ht="18.5" x14ac:dyDescent="0.45">
      <c r="A106" t="s">
        <v>438</v>
      </c>
      <c r="B106" s="782">
        <v>-1120862.76</v>
      </c>
    </row>
  </sheetData>
  <sortState xmlns:xlrd2="http://schemas.microsoft.com/office/spreadsheetml/2017/richdata2" ref="A1:B106">
    <sortCondition descending="1" ref="B1:B106"/>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BD47-5ABC-4408-8EA3-98571E67EE3B}">
  <dimension ref="A1:D97"/>
  <sheetViews>
    <sheetView topLeftCell="A70" workbookViewId="0">
      <selection activeCell="I80" sqref="I80"/>
    </sheetView>
  </sheetViews>
  <sheetFormatPr defaultRowHeight="14.5" x14ac:dyDescent="0.35"/>
  <cols>
    <col min="1" max="1" width="59.90625" customWidth="1"/>
    <col min="2" max="2" width="28.90625" customWidth="1"/>
    <col min="3" max="3" width="14.54296875" customWidth="1"/>
    <col min="4" max="4" width="18.54296875" customWidth="1"/>
  </cols>
  <sheetData>
    <row r="1" spans="1:3" ht="18.5" x14ac:dyDescent="0.45">
      <c r="A1" t="s">
        <v>666</v>
      </c>
      <c r="B1" s="752">
        <v>44794323.866600066</v>
      </c>
      <c r="C1" s="133">
        <f>Sheet29!B1-Sheet27!B1</f>
        <v>0</v>
      </c>
    </row>
    <row r="2" spans="1:3" ht="18.5" x14ac:dyDescent="0.45">
      <c r="A2" t="s">
        <v>227</v>
      </c>
      <c r="B2" s="752">
        <v>28154758.260000002</v>
      </c>
      <c r="C2" s="133">
        <f>Sheet29!B2-Sheet27!B2</f>
        <v>-9.9999979138374329E-3</v>
      </c>
    </row>
    <row r="3" spans="1:3" ht="18.5" x14ac:dyDescent="0.45">
      <c r="A3" t="s">
        <v>668</v>
      </c>
      <c r="B3" s="752">
        <v>16764178.32</v>
      </c>
      <c r="C3" s="133">
        <f>Sheet29!B3-Sheet27!B3</f>
        <v>4.0978193283081055E-8</v>
      </c>
    </row>
    <row r="4" spans="1:3" ht="18.5" x14ac:dyDescent="0.45">
      <c r="A4" t="s">
        <v>223</v>
      </c>
      <c r="B4" s="752">
        <v>16442347.600000001</v>
      </c>
      <c r="C4" s="133">
        <f>Sheet29!B4-Sheet27!B4</f>
        <v>0</v>
      </c>
    </row>
    <row r="5" spans="1:3" ht="18.5" x14ac:dyDescent="0.45">
      <c r="A5" t="s">
        <v>266</v>
      </c>
      <c r="B5" s="752">
        <v>12550817.47000001</v>
      </c>
      <c r="C5" s="133">
        <f>Sheet29!B5-Sheet27!B5</f>
        <v>0</v>
      </c>
    </row>
    <row r="6" spans="1:3" ht="18.5" x14ac:dyDescent="0.45">
      <c r="A6" t="s">
        <v>667</v>
      </c>
      <c r="B6" s="752">
        <v>7374367.4260000121</v>
      </c>
      <c r="C6" s="133">
        <f>Sheet29!B6-Sheet27!B6</f>
        <v>0</v>
      </c>
    </row>
    <row r="7" spans="1:3" ht="18.5" x14ac:dyDescent="0.45">
      <c r="A7" t="s">
        <v>224</v>
      </c>
      <c r="B7" s="752">
        <v>5390461.2399999946</v>
      </c>
      <c r="C7" s="133">
        <f>Sheet29!B7-Sheet27!B7</f>
        <v>0</v>
      </c>
    </row>
    <row r="8" spans="1:3" ht="18.5" x14ac:dyDescent="0.45">
      <c r="A8" t="s">
        <v>696</v>
      </c>
      <c r="B8" s="752">
        <v>5211181</v>
      </c>
      <c r="C8" s="133">
        <f>Sheet29!B8-Sheet27!B8</f>
        <v>0</v>
      </c>
    </row>
    <row r="9" spans="1:3" ht="18.5" x14ac:dyDescent="0.45">
      <c r="A9" t="s">
        <v>278</v>
      </c>
      <c r="B9" s="752">
        <v>5202357.3340000492</v>
      </c>
      <c r="C9" s="133">
        <f>Sheet29!B9-Sheet27!B9</f>
        <v>-3.166496753692627E-8</v>
      </c>
    </row>
    <row r="10" spans="1:3" ht="18.5" x14ac:dyDescent="0.45">
      <c r="A10" t="s">
        <v>672</v>
      </c>
      <c r="B10" s="752">
        <v>3541875.53</v>
      </c>
      <c r="C10" s="133">
        <f>Sheet29!B10-Sheet27!B10</f>
        <v>0</v>
      </c>
    </row>
    <row r="11" spans="1:3" ht="18.5" x14ac:dyDescent="0.45">
      <c r="A11" t="s">
        <v>671</v>
      </c>
      <c r="B11" s="752">
        <v>3214246.71</v>
      </c>
      <c r="C11" s="133">
        <f>Sheet29!B11-Sheet27!B11</f>
        <v>1.9999993965029716E-3</v>
      </c>
    </row>
    <row r="12" spans="1:3" ht="18.5" x14ac:dyDescent="0.45">
      <c r="A12" t="s">
        <v>681</v>
      </c>
      <c r="B12" s="752">
        <v>2951264.7200000007</v>
      </c>
      <c r="C12" s="133">
        <f>Sheet29!B12-Sheet27!B12</f>
        <v>0</v>
      </c>
    </row>
    <row r="13" spans="1:3" ht="18.5" x14ac:dyDescent="0.45">
      <c r="A13" t="s">
        <v>236</v>
      </c>
      <c r="B13" s="752">
        <v>2643160.7199999997</v>
      </c>
      <c r="C13" s="133">
        <f>Sheet29!B13-Sheet27!B13</f>
        <v>0</v>
      </c>
    </row>
    <row r="14" spans="1:3" ht="18.5" x14ac:dyDescent="0.45">
      <c r="A14" t="s">
        <v>225</v>
      </c>
      <c r="B14" s="752">
        <v>2363765.7200000091</v>
      </c>
      <c r="C14" s="133">
        <f>Sheet29!B14-Sheet27!B14</f>
        <v>0</v>
      </c>
    </row>
    <row r="15" spans="1:3" ht="18.5" x14ac:dyDescent="0.45">
      <c r="A15" t="s">
        <v>247</v>
      </c>
      <c r="B15" s="752">
        <v>2362949.3199999952</v>
      </c>
      <c r="C15" s="133">
        <f>Sheet29!B15-Sheet27!B15</f>
        <v>0</v>
      </c>
    </row>
    <row r="16" spans="1:3" ht="18.5" x14ac:dyDescent="0.45">
      <c r="A16" t="s">
        <v>260</v>
      </c>
      <c r="B16" s="752">
        <v>2328905.41</v>
      </c>
      <c r="C16" s="133">
        <f>Sheet29!B16-Sheet27!B16</f>
        <v>-9.999983012676239E-4</v>
      </c>
    </row>
    <row r="17" spans="1:3" ht="18.5" x14ac:dyDescent="0.45">
      <c r="A17" t="s">
        <v>263</v>
      </c>
      <c r="B17" s="752">
        <v>2183389.1899999995</v>
      </c>
      <c r="C17" s="133">
        <f>Sheet29!B17-Sheet27!B17</f>
        <v>0</v>
      </c>
    </row>
    <row r="18" spans="1:3" ht="18.5" x14ac:dyDescent="0.45">
      <c r="A18" t="s">
        <v>237</v>
      </c>
      <c r="B18" s="752">
        <v>1958029.2700000012</v>
      </c>
      <c r="C18" s="133">
        <f>Sheet29!B18-Sheet27!B18</f>
        <v>0</v>
      </c>
    </row>
    <row r="19" spans="1:3" ht="18.5" x14ac:dyDescent="0.45">
      <c r="A19" t="s">
        <v>265</v>
      </c>
      <c r="B19" s="752">
        <v>1930502.889999999</v>
      </c>
      <c r="C19" s="133">
        <f>Sheet29!B19-Sheet27!B19</f>
        <v>0</v>
      </c>
    </row>
    <row r="20" spans="1:3" ht="18.5" x14ac:dyDescent="0.45">
      <c r="A20" t="s">
        <v>669</v>
      </c>
      <c r="B20" s="752">
        <v>1882278.09</v>
      </c>
      <c r="C20" s="133">
        <f>Sheet29!B20-Sheet27!B20</f>
        <v>0</v>
      </c>
    </row>
    <row r="21" spans="1:3" ht="18.5" x14ac:dyDescent="0.45">
      <c r="A21" t="s">
        <v>264</v>
      </c>
      <c r="B21" s="752">
        <v>1830046.57</v>
      </c>
      <c r="C21" s="133">
        <f>Sheet29!B21-Sheet27!B21</f>
        <v>-3.2596290111541748E-9</v>
      </c>
    </row>
    <row r="22" spans="1:3" ht="18.5" x14ac:dyDescent="0.45">
      <c r="A22" t="s">
        <v>267</v>
      </c>
      <c r="B22" s="752">
        <v>1752297.9500000002</v>
      </c>
      <c r="C22" s="133">
        <f>Sheet29!B22-Sheet27!B22</f>
        <v>0</v>
      </c>
    </row>
    <row r="23" spans="1:3" ht="18.5" x14ac:dyDescent="0.45">
      <c r="A23" t="s">
        <v>673</v>
      </c>
      <c r="B23" s="752">
        <v>1614021.24</v>
      </c>
      <c r="C23" s="133">
        <f>Sheet29!B23-Sheet27!B23</f>
        <v>-2.5611370801925659E-9</v>
      </c>
    </row>
    <row r="24" spans="1:3" ht="18.5" x14ac:dyDescent="0.45">
      <c r="A24" t="s">
        <v>256</v>
      </c>
      <c r="B24" s="752">
        <v>1451349.6299999997</v>
      </c>
      <c r="C24" s="133">
        <f>Sheet29!B24-Sheet27!B24</f>
        <v>0</v>
      </c>
    </row>
    <row r="25" spans="1:3" ht="18.5" x14ac:dyDescent="0.45">
      <c r="A25" t="s">
        <v>215</v>
      </c>
      <c r="B25" s="752">
        <v>1441812.7400000014</v>
      </c>
      <c r="C25" s="133">
        <f>Sheet29!B25-Sheet27!B25</f>
        <v>0</v>
      </c>
    </row>
    <row r="26" spans="1:3" ht="18.5" x14ac:dyDescent="0.45">
      <c r="A26" t="s">
        <v>287</v>
      </c>
      <c r="B26" s="752">
        <v>1315460.3600000001</v>
      </c>
      <c r="C26" s="133">
        <f>Sheet29!B26-Sheet27!B26</f>
        <v>0</v>
      </c>
    </row>
    <row r="27" spans="1:3" ht="18.5" x14ac:dyDescent="0.45">
      <c r="A27" t="s">
        <v>678</v>
      </c>
      <c r="B27" s="752">
        <v>1267631.9900000002</v>
      </c>
      <c r="C27" s="133">
        <f>Sheet29!B27-Sheet27!B27</f>
        <v>0</v>
      </c>
    </row>
    <row r="28" spans="1:3" ht="18.5" x14ac:dyDescent="0.45">
      <c r="A28" t="s">
        <v>670</v>
      </c>
      <c r="B28" s="752">
        <v>1018483.22</v>
      </c>
      <c r="C28" s="133">
        <f>Sheet29!B28-Sheet27!B28</f>
        <v>2.3283064365386963E-9</v>
      </c>
    </row>
    <row r="29" spans="1:3" ht="18.5" x14ac:dyDescent="0.45">
      <c r="A29" t="s">
        <v>234</v>
      </c>
      <c r="B29" s="752">
        <v>1002369.9199999998</v>
      </c>
      <c r="C29" s="133">
        <f>Sheet29!B29-Sheet27!B29</f>
        <v>-1.6999996732920408E-3</v>
      </c>
    </row>
    <row r="30" spans="1:3" ht="18.5" x14ac:dyDescent="0.45">
      <c r="A30" t="s">
        <v>675</v>
      </c>
      <c r="B30" s="752">
        <v>663774.71000000008</v>
      </c>
      <c r="C30" s="133">
        <f>Sheet29!B30-Sheet27!B30</f>
        <v>3.14321368932724E-9</v>
      </c>
    </row>
    <row r="31" spans="1:3" ht="18.5" x14ac:dyDescent="0.45">
      <c r="A31" t="s">
        <v>218</v>
      </c>
      <c r="B31" s="752">
        <v>611847.80000000156</v>
      </c>
      <c r="C31" s="133">
        <f>Sheet29!B31-Sheet27!B31</f>
        <v>0</v>
      </c>
    </row>
    <row r="32" spans="1:3" ht="18.5" x14ac:dyDescent="0.45">
      <c r="A32" t="s">
        <v>286</v>
      </c>
      <c r="B32" s="752">
        <v>604156.05999999994</v>
      </c>
      <c r="C32" s="133">
        <f>Sheet29!B32-Sheet27!B32</f>
        <v>0</v>
      </c>
    </row>
    <row r="33" spans="1:3" ht="18.5" x14ac:dyDescent="0.45">
      <c r="A33" t="s">
        <v>243</v>
      </c>
      <c r="B33" s="752">
        <v>583040</v>
      </c>
      <c r="C33" s="133">
        <f>Sheet29!B33-Sheet27!B33</f>
        <v>0</v>
      </c>
    </row>
    <row r="34" spans="1:3" ht="18.5" x14ac:dyDescent="0.45">
      <c r="A34" t="s">
        <v>270</v>
      </c>
      <c r="B34" s="752">
        <v>509456.41099991079</v>
      </c>
      <c r="C34" s="133">
        <f>Sheet29!B34-Sheet27!B34</f>
        <v>1.9000088796019554E-2</v>
      </c>
    </row>
    <row r="35" spans="1:3" ht="18.5" x14ac:dyDescent="0.45">
      <c r="A35" t="s">
        <v>279</v>
      </c>
      <c r="B35" s="752">
        <v>441794.88</v>
      </c>
      <c r="C35" s="133">
        <f>Sheet29!B35-Sheet27!B35</f>
        <v>0</v>
      </c>
    </row>
    <row r="36" spans="1:3" ht="18.5" x14ac:dyDescent="0.45">
      <c r="A36" t="s">
        <v>509</v>
      </c>
      <c r="B36" s="752">
        <v>416348.5</v>
      </c>
      <c r="C36" s="133">
        <f>Sheet29!B36-Sheet27!B36</f>
        <v>0</v>
      </c>
    </row>
    <row r="37" spans="1:3" ht="18.5" x14ac:dyDescent="0.45">
      <c r="A37" t="s">
        <v>683</v>
      </c>
      <c r="B37" s="752">
        <v>404827.06999999995</v>
      </c>
      <c r="C37" s="133">
        <f>Sheet29!B37-Sheet27!B37</f>
        <v>0</v>
      </c>
    </row>
    <row r="38" spans="1:3" ht="18.5" x14ac:dyDescent="0.45">
      <c r="A38" t="s">
        <v>111</v>
      </c>
      <c r="B38" s="752">
        <v>317412.57999999996</v>
      </c>
      <c r="C38" s="133">
        <f>Sheet29!B38-Sheet27!B38</f>
        <v>0</v>
      </c>
    </row>
    <row r="39" spans="1:3" ht="18.5" x14ac:dyDescent="0.45">
      <c r="A39" t="s">
        <v>216</v>
      </c>
      <c r="B39" s="752">
        <v>313552.88999999996</v>
      </c>
      <c r="C39" s="133">
        <f>Sheet29!B39-Sheet27!B39</f>
        <v>0</v>
      </c>
    </row>
    <row r="40" spans="1:3" ht="18.5" x14ac:dyDescent="0.45">
      <c r="A40" t="s">
        <v>219</v>
      </c>
      <c r="B40" s="752">
        <v>297467</v>
      </c>
      <c r="C40" s="133">
        <f>Sheet29!B40-Sheet27!B40</f>
        <v>-1.6298145055770874E-9</v>
      </c>
    </row>
    <row r="41" spans="1:3" ht="18.5" x14ac:dyDescent="0.45">
      <c r="A41" t="s">
        <v>674</v>
      </c>
      <c r="B41" s="752">
        <v>284998.25000000157</v>
      </c>
      <c r="C41" s="133">
        <f>Sheet29!B41-Sheet27!B41</f>
        <v>0</v>
      </c>
    </row>
    <row r="42" spans="1:3" ht="18.5" x14ac:dyDescent="0.45">
      <c r="A42" t="s">
        <v>677</v>
      </c>
      <c r="B42" s="752">
        <v>252018.3783001781</v>
      </c>
      <c r="C42" s="133">
        <f>Sheet29!B42-Sheet27!B42</f>
        <v>1.6998299688566476E-3</v>
      </c>
    </row>
    <row r="43" spans="1:3" ht="18.5" x14ac:dyDescent="0.45">
      <c r="A43" t="s">
        <v>222</v>
      </c>
      <c r="B43" s="752">
        <v>248037</v>
      </c>
      <c r="C43" s="133">
        <f>Sheet29!B43-Sheet27!B43</f>
        <v>-2.3283064365386963E-10</v>
      </c>
    </row>
    <row r="44" spans="1:3" ht="18.5" x14ac:dyDescent="0.45">
      <c r="A44" t="s">
        <v>680</v>
      </c>
      <c r="B44" s="752">
        <v>244306.31</v>
      </c>
      <c r="C44" s="133">
        <f>Sheet29!B44-Sheet27!B44</f>
        <v>-5.8207660913467407E-10</v>
      </c>
    </row>
    <row r="45" spans="1:3" ht="18.5" x14ac:dyDescent="0.45">
      <c r="A45" t="s">
        <v>246</v>
      </c>
      <c r="B45" s="752">
        <v>224808</v>
      </c>
      <c r="C45" s="133">
        <f>Sheet29!B45-Sheet27!B45</f>
        <v>0</v>
      </c>
    </row>
    <row r="46" spans="1:3" ht="18.5" x14ac:dyDescent="0.45">
      <c r="A46" t="s">
        <v>276</v>
      </c>
      <c r="B46" s="752">
        <v>177581.35999999996</v>
      </c>
      <c r="C46" s="133">
        <f>Sheet29!B46-Sheet27!B46</f>
        <v>0</v>
      </c>
    </row>
    <row r="47" spans="1:3" ht="18.5" x14ac:dyDescent="0.45">
      <c r="A47" t="s">
        <v>271</v>
      </c>
      <c r="B47" s="752">
        <v>175942.5</v>
      </c>
      <c r="C47" s="133">
        <f>Sheet29!B47-Sheet27!B47</f>
        <v>0</v>
      </c>
    </row>
    <row r="48" spans="1:3" ht="18.5" x14ac:dyDescent="0.45">
      <c r="A48" t="s">
        <v>235</v>
      </c>
      <c r="B48" s="752">
        <v>160067.65</v>
      </c>
      <c r="C48" s="133">
        <f>Sheet29!B48-Sheet27!B48</f>
        <v>0</v>
      </c>
    </row>
    <row r="49" spans="1:3" ht="18.5" x14ac:dyDescent="0.45">
      <c r="A49" t="s">
        <v>269</v>
      </c>
      <c r="B49" s="752">
        <v>148998.68000006606</v>
      </c>
      <c r="C49" s="133">
        <f>Sheet29!B49-Sheet27!B49</f>
        <v>0</v>
      </c>
    </row>
    <row r="50" spans="1:3" ht="18.5" x14ac:dyDescent="0.45">
      <c r="A50" t="s">
        <v>258</v>
      </c>
      <c r="B50" s="752">
        <v>145921.60000000001</v>
      </c>
      <c r="C50" s="133">
        <f>Sheet29!B50-Sheet27!B50</f>
        <v>-2.6193447411060333E-10</v>
      </c>
    </row>
    <row r="51" spans="1:3" ht="18.5" x14ac:dyDescent="0.45">
      <c r="A51" t="s">
        <v>1040</v>
      </c>
      <c r="B51" s="752">
        <v>136827.66</v>
      </c>
      <c r="C51" s="133">
        <f>Sheet29!B51-Sheet27!B51</f>
        <v>0</v>
      </c>
    </row>
    <row r="52" spans="1:3" ht="18.5" x14ac:dyDescent="0.45">
      <c r="A52" t="s">
        <v>685</v>
      </c>
      <c r="B52" s="752">
        <v>95880.570000000036</v>
      </c>
      <c r="C52" s="133">
        <f>Sheet29!B52-Sheet27!B52</f>
        <v>9.8953023552894592E-10</v>
      </c>
    </row>
    <row r="53" spans="1:3" ht="18.5" x14ac:dyDescent="0.45">
      <c r="A53" t="s">
        <v>459</v>
      </c>
      <c r="B53" s="752">
        <v>94994.15</v>
      </c>
      <c r="C53" s="133">
        <f>Sheet29!B53-Sheet27!B53</f>
        <v>0</v>
      </c>
    </row>
    <row r="54" spans="1:3" ht="18.5" x14ac:dyDescent="0.45">
      <c r="A54" t="s">
        <v>503</v>
      </c>
      <c r="B54" s="752">
        <v>73202.629999999976</v>
      </c>
      <c r="C54" s="133">
        <f>Sheet29!B54-Sheet27!B54</f>
        <v>0</v>
      </c>
    </row>
    <row r="55" spans="1:3" ht="18.5" x14ac:dyDescent="0.45">
      <c r="A55" t="s">
        <v>255</v>
      </c>
      <c r="B55" s="752">
        <v>65043.220000000045</v>
      </c>
      <c r="C55" s="133">
        <f>Sheet29!B55-Sheet27!B55</f>
        <v>-7.8580342233181E-10</v>
      </c>
    </row>
    <row r="56" spans="1:3" ht="18.5" x14ac:dyDescent="0.45">
      <c r="A56" t="s">
        <v>525</v>
      </c>
      <c r="B56" s="752">
        <v>64989.42</v>
      </c>
      <c r="C56" s="133">
        <f>Sheet29!B56-Sheet27!B56</f>
        <v>0</v>
      </c>
    </row>
    <row r="57" spans="1:3" ht="18.5" x14ac:dyDescent="0.45">
      <c r="A57" t="s">
        <v>1177</v>
      </c>
      <c r="B57" s="752">
        <v>62215.070000000007</v>
      </c>
      <c r="C57" s="133">
        <f>Sheet29!B57-Sheet27!B57</f>
        <v>0</v>
      </c>
    </row>
    <row r="58" spans="1:3" ht="18.5" x14ac:dyDescent="0.45">
      <c r="A58" t="s">
        <v>686</v>
      </c>
      <c r="B58" s="752">
        <v>55637.160000000062</v>
      </c>
      <c r="C58" s="133">
        <f>Sheet29!B58-Sheet27!B58</f>
        <v>0</v>
      </c>
    </row>
    <row r="59" spans="1:3" ht="18.5" x14ac:dyDescent="0.45">
      <c r="A59" t="s">
        <v>676</v>
      </c>
      <c r="B59" s="752">
        <v>41335.599999999999</v>
      </c>
      <c r="C59" s="133">
        <f>Sheet29!B59-Sheet27!B59</f>
        <v>-9.4587448984384537E-11</v>
      </c>
    </row>
    <row r="60" spans="1:3" ht="18.5" x14ac:dyDescent="0.45">
      <c r="A60" t="s">
        <v>693</v>
      </c>
      <c r="B60" s="752">
        <v>32572.5</v>
      </c>
      <c r="C60" s="133">
        <f>Sheet29!B60-Sheet27!B60</f>
        <v>-1.8189894035458565E-10</v>
      </c>
    </row>
    <row r="61" spans="1:3" ht="18.5" x14ac:dyDescent="0.45">
      <c r="A61" t="s">
        <v>684</v>
      </c>
      <c r="B61" s="752">
        <v>30474.279999999984</v>
      </c>
      <c r="C61" s="133">
        <f>Sheet29!B61-Sheet27!B61</f>
        <v>0</v>
      </c>
    </row>
    <row r="62" spans="1:3" ht="18.5" x14ac:dyDescent="0.45">
      <c r="A62" t="s">
        <v>688</v>
      </c>
      <c r="B62" s="752">
        <v>23503.47</v>
      </c>
      <c r="C62" s="133">
        <f>Sheet29!B62-Sheet27!B62</f>
        <v>3.4197000786662102E-10</v>
      </c>
    </row>
    <row r="63" spans="1:3" ht="18.5" x14ac:dyDescent="0.45">
      <c r="A63" t="s">
        <v>697</v>
      </c>
      <c r="B63" s="752">
        <v>18446.39</v>
      </c>
      <c r="C63" s="133">
        <f>Sheet29!B63-Sheet27!B63</f>
        <v>0</v>
      </c>
    </row>
    <row r="64" spans="1:3" ht="18.5" x14ac:dyDescent="0.45">
      <c r="A64" t="s">
        <v>272</v>
      </c>
      <c r="B64" s="752">
        <v>18435.3</v>
      </c>
      <c r="C64" s="133">
        <f>Sheet29!B64-Sheet27!B64</f>
        <v>0</v>
      </c>
    </row>
    <row r="65" spans="1:4" ht="18.5" x14ac:dyDescent="0.45">
      <c r="A65" t="s">
        <v>480</v>
      </c>
      <c r="B65" s="752">
        <v>18381.95</v>
      </c>
      <c r="C65" s="133">
        <f>Sheet29!B65-Sheet27!B65</f>
        <v>0</v>
      </c>
    </row>
    <row r="66" spans="1:4" ht="18.5" x14ac:dyDescent="0.45">
      <c r="A66" t="s">
        <v>691</v>
      </c>
      <c r="B66" s="752">
        <v>17873.900000000001</v>
      </c>
      <c r="C66" s="133">
        <f>Sheet29!B66-Sheet27!B66</f>
        <v>0</v>
      </c>
    </row>
    <row r="67" spans="1:4" ht="18.5" x14ac:dyDescent="0.45">
      <c r="A67" t="s">
        <v>692</v>
      </c>
      <c r="B67" s="752">
        <v>16268.82</v>
      </c>
      <c r="C67" s="133">
        <f>Sheet29!B67-Sheet27!B67</f>
        <v>-5.8207660913467407E-10</v>
      </c>
    </row>
    <row r="68" spans="1:4" ht="18.5" x14ac:dyDescent="0.45">
      <c r="A68" t="s">
        <v>250</v>
      </c>
      <c r="B68" s="752">
        <v>15396</v>
      </c>
      <c r="C68" s="133">
        <f>Sheet29!B68-Sheet27!B68</f>
        <v>0</v>
      </c>
    </row>
    <row r="69" spans="1:4" ht="18.5" x14ac:dyDescent="0.45">
      <c r="A69" t="s">
        <v>502</v>
      </c>
      <c r="B69" s="752">
        <v>8773.1399999999958</v>
      </c>
      <c r="C69" s="133">
        <f>Sheet29!B69-Sheet27!B69</f>
        <v>0</v>
      </c>
    </row>
    <row r="70" spans="1:4" ht="18.5" x14ac:dyDescent="0.45">
      <c r="A70" t="s">
        <v>695</v>
      </c>
      <c r="B70" s="752">
        <v>8626.7799999999988</v>
      </c>
      <c r="C70" s="133">
        <f>Sheet29!B70-Sheet27!B70</f>
        <v>7.6397554948925972E-11</v>
      </c>
    </row>
    <row r="71" spans="1:4" ht="18.5" x14ac:dyDescent="0.45">
      <c r="A71" t="s">
        <v>505</v>
      </c>
      <c r="B71" s="752">
        <v>8345.2899999999991</v>
      </c>
      <c r="C71" s="133">
        <f>Sheet29!B71-Sheet27!B71</f>
        <v>-7.8216544352471828E-11</v>
      </c>
    </row>
    <row r="72" spans="1:4" ht="18.5" x14ac:dyDescent="0.45">
      <c r="A72" t="s">
        <v>128</v>
      </c>
      <c r="B72" s="752">
        <v>834.78</v>
      </c>
      <c r="C72" s="133">
        <f>Sheet29!B72-Sheet27!B72</f>
        <v>0</v>
      </c>
    </row>
    <row r="73" spans="1:4" ht="18.5" x14ac:dyDescent="0.45">
      <c r="A73" t="s">
        <v>508</v>
      </c>
      <c r="B73" s="752">
        <v>731.7</v>
      </c>
      <c r="C73" s="133">
        <f>Sheet29!B73-Sheet27!B73</f>
        <v>0</v>
      </c>
    </row>
    <row r="74" spans="1:4" ht="18.5" x14ac:dyDescent="0.45">
      <c r="A74" t="s">
        <v>682</v>
      </c>
      <c r="B74" s="752">
        <v>-2</v>
      </c>
      <c r="C74" s="133">
        <f>Sheet29!B74-Sheet27!B74</f>
        <v>2.0000000004656613</v>
      </c>
      <c r="D74" s="591"/>
    </row>
    <row r="75" spans="1:4" ht="18.5" x14ac:dyDescent="0.45">
      <c r="A75" t="s">
        <v>699</v>
      </c>
      <c r="B75" s="752">
        <v>-36.199999999953434</v>
      </c>
      <c r="C75" s="133">
        <f>Sheet29!B75-Sheet27!B75</f>
        <v>36.199999999964348</v>
      </c>
      <c r="D75" s="591">
        <f t="shared" ref="D75:D97" si="0">B75+C75</f>
        <v>1.0913936421275139E-11</v>
      </c>
    </row>
    <row r="76" spans="1:4" ht="18.5" x14ac:dyDescent="0.45">
      <c r="A76" t="s">
        <v>679</v>
      </c>
      <c r="B76" s="752">
        <v>-133.73999999999069</v>
      </c>
      <c r="C76" s="133">
        <f>Sheet29!B76-Sheet27!B76</f>
        <v>133.73999999999069</v>
      </c>
      <c r="D76" s="591">
        <f t="shared" si="0"/>
        <v>0</v>
      </c>
    </row>
    <row r="77" spans="1:4" ht="18.5" x14ac:dyDescent="0.45">
      <c r="A77" t="s">
        <v>289</v>
      </c>
      <c r="B77" s="752">
        <v>-501.41</v>
      </c>
      <c r="C77" s="133">
        <f>Sheet29!B77-Sheet27!B77</f>
        <v>501.41</v>
      </c>
      <c r="D77" s="591">
        <f t="shared" si="0"/>
        <v>0</v>
      </c>
    </row>
    <row r="78" spans="1:4" ht="18.5" x14ac:dyDescent="0.45">
      <c r="A78" t="s">
        <v>273</v>
      </c>
      <c r="B78" s="752">
        <v>-2184.6839999999829</v>
      </c>
      <c r="C78" s="133">
        <f>Sheet29!B78-Sheet27!B78</f>
        <v>2184.6839999999825</v>
      </c>
      <c r="D78" s="591">
        <f t="shared" si="0"/>
        <v>0</v>
      </c>
    </row>
    <row r="79" spans="1:4" ht="18.5" x14ac:dyDescent="0.45">
      <c r="A79" t="s">
        <v>283</v>
      </c>
      <c r="B79" s="752">
        <v>-2348.9</v>
      </c>
      <c r="C79" s="133">
        <f>Sheet29!B79-Sheet27!B79</f>
        <v>2348.8999999999928</v>
      </c>
      <c r="D79" s="591">
        <f t="shared" si="0"/>
        <v>-7.2759576141834259E-12</v>
      </c>
    </row>
    <row r="80" spans="1:4" ht="18.5" x14ac:dyDescent="0.45">
      <c r="A80" t="s">
        <v>700</v>
      </c>
      <c r="B80" s="752">
        <v>-2858.9200000000346</v>
      </c>
      <c r="C80" s="133">
        <f>Sheet29!B80-Sheet27!B80</f>
        <v>2858.9200000000201</v>
      </c>
      <c r="D80" s="591">
        <f t="shared" si="0"/>
        <v>-1.4551915228366852E-11</v>
      </c>
    </row>
    <row r="81" spans="1:4" ht="18.5" x14ac:dyDescent="0.45">
      <c r="A81" t="s">
        <v>281</v>
      </c>
      <c r="B81" s="752">
        <v>-4655.5600000000004</v>
      </c>
      <c r="C81" s="133">
        <f>Sheet29!B81-Sheet27!B81</f>
        <v>4655.5599999999713</v>
      </c>
      <c r="D81" s="591">
        <f t="shared" si="0"/>
        <v>-2.9103830456733704E-11</v>
      </c>
    </row>
    <row r="82" spans="1:4" ht="18.5" x14ac:dyDescent="0.45">
      <c r="A82" t="s">
        <v>244</v>
      </c>
      <c r="B82" s="752">
        <v>-4925.8500000000004</v>
      </c>
      <c r="C82" s="133">
        <f>Sheet29!B82-Sheet27!B82</f>
        <v>4925.8499999999713</v>
      </c>
      <c r="D82" s="591">
        <f t="shared" si="0"/>
        <v>-2.9103830456733704E-11</v>
      </c>
    </row>
    <row r="83" spans="1:4" ht="18.5" x14ac:dyDescent="0.45">
      <c r="A83" t="s">
        <v>253</v>
      </c>
      <c r="B83" s="752">
        <v>-5959.03</v>
      </c>
      <c r="C83" s="133">
        <f>Sheet29!B83-Sheet27!B83</f>
        <v>5957.0299999990393</v>
      </c>
      <c r="D83" s="591">
        <f t="shared" si="0"/>
        <v>-2.0000000009604264</v>
      </c>
    </row>
    <row r="84" spans="1:4" ht="18.5" x14ac:dyDescent="0.45">
      <c r="A84" t="s">
        <v>291</v>
      </c>
      <c r="B84" s="752">
        <v>-6676.28</v>
      </c>
      <c r="C84" s="133">
        <f>Sheet29!B84-Sheet27!B84</f>
        <v>6640.0800000001627</v>
      </c>
      <c r="D84" s="591">
        <f t="shared" si="0"/>
        <v>-36.199999999837019</v>
      </c>
    </row>
    <row r="85" spans="1:4" ht="18.5" x14ac:dyDescent="0.45">
      <c r="A85" t="s">
        <v>689</v>
      </c>
      <c r="B85" s="752">
        <v>-19829.789999999994</v>
      </c>
      <c r="C85" s="133">
        <f>Sheet29!B85-Sheet27!B85</f>
        <v>19696.049999999988</v>
      </c>
      <c r="D85" s="591">
        <f t="shared" si="0"/>
        <v>-133.74000000000524</v>
      </c>
    </row>
    <row r="86" spans="1:4" ht="18.5" x14ac:dyDescent="0.45">
      <c r="A86" t="s">
        <v>102</v>
      </c>
      <c r="B86" s="752">
        <v>-21803.759999999998</v>
      </c>
      <c r="C86" s="133">
        <f>Sheet29!B86-Sheet27!B86</f>
        <v>21302.350000000315</v>
      </c>
      <c r="D86" s="591">
        <f t="shared" si="0"/>
        <v>-501.40999999968335</v>
      </c>
    </row>
    <row r="87" spans="1:4" ht="18.5" x14ac:dyDescent="0.45">
      <c r="A87" t="s">
        <v>122</v>
      </c>
      <c r="B87" s="752">
        <v>-29297.360000000001</v>
      </c>
      <c r="C87" s="133">
        <f>Sheet29!B87-Sheet27!B87</f>
        <v>27112.676000000018</v>
      </c>
      <c r="D87" s="591">
        <f t="shared" si="0"/>
        <v>-2184.6839999999829</v>
      </c>
    </row>
    <row r="88" spans="1:4" ht="18.5" x14ac:dyDescent="0.45">
      <c r="A88" t="s">
        <v>132</v>
      </c>
      <c r="B88" s="752">
        <v>-35689.800000000003</v>
      </c>
      <c r="C88" s="133">
        <f>Sheet29!B88-Sheet27!B88</f>
        <v>33340.900000000562</v>
      </c>
      <c r="D88" s="591">
        <f t="shared" si="0"/>
        <v>-2348.8999999994412</v>
      </c>
    </row>
    <row r="89" spans="1:4" ht="18.5" x14ac:dyDescent="0.45">
      <c r="A89" t="s">
        <v>107</v>
      </c>
      <c r="B89" s="752">
        <v>-39944.120000000003</v>
      </c>
      <c r="C89" s="133">
        <f>Sheet29!B89-Sheet27!B89</f>
        <v>37085.19999999991</v>
      </c>
      <c r="D89" s="591">
        <f t="shared" si="0"/>
        <v>-2858.9200000000928</v>
      </c>
    </row>
    <row r="90" spans="1:4" ht="18.5" x14ac:dyDescent="0.45">
      <c r="A90" t="s">
        <v>221</v>
      </c>
      <c r="B90" s="752">
        <v>-113497.32</v>
      </c>
      <c r="C90" s="133">
        <f>Sheet29!B90-Sheet27!B90</f>
        <v>108841.75999999995</v>
      </c>
      <c r="D90" s="591">
        <f t="shared" si="0"/>
        <v>-4655.5600000000559</v>
      </c>
    </row>
    <row r="91" spans="1:4" ht="18.5" x14ac:dyDescent="0.45">
      <c r="A91" t="s">
        <v>249</v>
      </c>
      <c r="B91" s="752">
        <v>-115236.29</v>
      </c>
      <c r="C91" s="133">
        <f>Sheet29!B91-Sheet27!B91</f>
        <v>110310.44000000048</v>
      </c>
      <c r="D91" s="591">
        <f t="shared" si="0"/>
        <v>-4925.8499999995111</v>
      </c>
    </row>
    <row r="92" spans="1:4" ht="18.5" x14ac:dyDescent="0.45">
      <c r="A92" t="s">
        <v>701</v>
      </c>
      <c r="B92" s="752">
        <v>-135954.03</v>
      </c>
      <c r="C92" s="133">
        <f>Sheet29!B92-Sheet27!B92</f>
        <v>129995.00000000038</v>
      </c>
      <c r="D92" s="591">
        <f t="shared" si="0"/>
        <v>-5959.0299999996205</v>
      </c>
    </row>
    <row r="93" spans="1:4" ht="18.5" x14ac:dyDescent="0.45">
      <c r="A93" t="s">
        <v>702</v>
      </c>
      <c r="B93" s="752">
        <v>-207956.99</v>
      </c>
      <c r="C93" s="133">
        <f>Sheet29!B93-Sheet27!B93</f>
        <v>201280.71000000011</v>
      </c>
      <c r="D93" s="591">
        <f t="shared" si="0"/>
        <v>-6676.2799999998824</v>
      </c>
    </row>
    <row r="94" spans="1:4" ht="18.5" x14ac:dyDescent="0.45">
      <c r="A94" t="s">
        <v>245</v>
      </c>
      <c r="B94" s="752">
        <v>-221089.2</v>
      </c>
      <c r="C94" s="133">
        <f>Sheet29!B94-Sheet27!B94</f>
        <v>201259.41000000003</v>
      </c>
      <c r="D94" s="591">
        <f t="shared" si="0"/>
        <v>-19829.789999999979</v>
      </c>
    </row>
    <row r="95" spans="1:4" ht="18.5" x14ac:dyDescent="0.45">
      <c r="A95" t="s">
        <v>282</v>
      </c>
      <c r="B95" s="752">
        <v>-265954.98</v>
      </c>
      <c r="C95" s="133">
        <f>Sheet29!B95-Sheet27!B95</f>
        <v>244151.21999999997</v>
      </c>
      <c r="D95" s="591">
        <f t="shared" si="0"/>
        <v>-21803.760000000009</v>
      </c>
    </row>
    <row r="96" spans="1:4" ht="18.5" x14ac:dyDescent="0.45">
      <c r="A96" t="s">
        <v>268</v>
      </c>
      <c r="B96" s="752">
        <v>-387552.07599999697</v>
      </c>
      <c r="C96" s="133">
        <f>Sheet29!B96-Sheet27!B96</f>
        <v>358254.71599999699</v>
      </c>
      <c r="D96" s="591">
        <f t="shared" si="0"/>
        <v>-29297.359999999986</v>
      </c>
    </row>
    <row r="97" spans="1:4" ht="18.5" x14ac:dyDescent="0.45">
      <c r="A97" t="s">
        <v>703</v>
      </c>
      <c r="B97" s="1016">
        <v>-1120862.76</v>
      </c>
      <c r="C97" s="133">
        <f>Sheet29!B97-Sheet27!B97</f>
        <v>1085172.96</v>
      </c>
      <c r="D97" s="591">
        <f t="shared" si="0"/>
        <v>-35689.800000000047</v>
      </c>
    </row>
  </sheetData>
  <sortState xmlns:xlrd2="http://schemas.microsoft.com/office/spreadsheetml/2017/richdata2" ref="A1:B97">
    <sortCondition descending="1" ref="B1:B97"/>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CC19-953F-477A-8B6C-F7C7BEC6F5B4}">
  <dimension ref="A1:D346"/>
  <sheetViews>
    <sheetView workbookViewId="0">
      <selection activeCell="G24" sqref="G24"/>
    </sheetView>
  </sheetViews>
  <sheetFormatPr defaultRowHeight="14.5" x14ac:dyDescent="0.35"/>
  <cols>
    <col min="1" max="1" width="45.81640625" style="894" customWidth="1"/>
    <col min="2" max="2" width="23.36328125" style="894" customWidth="1"/>
    <col min="3" max="3" width="19.6328125" style="894" customWidth="1"/>
    <col min="4" max="4" width="13.6328125" style="916" bestFit="1" customWidth="1"/>
  </cols>
  <sheetData>
    <row r="1" spans="1:4" x14ac:dyDescent="0.35">
      <c r="A1" s="894" t="s">
        <v>1</v>
      </c>
      <c r="B1" s="894" t="s">
        <v>704</v>
      </c>
      <c r="C1" s="894" t="s">
        <v>705</v>
      </c>
      <c r="D1" s="916" t="s">
        <v>588</v>
      </c>
    </row>
    <row r="2" spans="1:4" x14ac:dyDescent="0.35">
      <c r="A2" s="642" t="s">
        <v>706</v>
      </c>
      <c r="B2" s="854">
        <v>44804</v>
      </c>
      <c r="C2" s="642" t="s">
        <v>707</v>
      </c>
      <c r="D2" s="1013">
        <v>8553</v>
      </c>
    </row>
    <row r="3" spans="1:4" s="894" customFormat="1" x14ac:dyDescent="0.35">
      <c r="A3" s="642"/>
      <c r="B3" s="854"/>
      <c r="C3" s="642"/>
      <c r="D3" s="1013">
        <f>SUM(D2)</f>
        <v>8553</v>
      </c>
    </row>
    <row r="4" spans="1:4" s="894" customFormat="1" x14ac:dyDescent="0.35">
      <c r="B4" s="853"/>
      <c r="D4" s="916"/>
    </row>
    <row r="5" spans="1:4" x14ac:dyDescent="0.35">
      <c r="A5" s="642" t="s">
        <v>708</v>
      </c>
      <c r="B5" s="854">
        <v>44804</v>
      </c>
      <c r="C5" s="642" t="s">
        <v>719</v>
      </c>
      <c r="D5" s="1013">
        <v>12617.48</v>
      </c>
    </row>
    <row r="6" spans="1:4" s="894" customFormat="1" x14ac:dyDescent="0.35">
      <c r="A6" s="642"/>
      <c r="B6" s="854"/>
      <c r="C6" s="642"/>
      <c r="D6" s="1013">
        <f>SUM(D5)</f>
        <v>12617.48</v>
      </c>
    </row>
    <row r="7" spans="1:4" s="894" customFormat="1" x14ac:dyDescent="0.35">
      <c r="B7" s="853"/>
      <c r="D7" s="916"/>
    </row>
    <row r="8" spans="1:4" x14ac:dyDescent="0.35">
      <c r="A8" s="642" t="s">
        <v>711</v>
      </c>
      <c r="B8" s="854">
        <v>44804</v>
      </c>
      <c r="C8" s="642" t="s">
        <v>707</v>
      </c>
      <c r="D8" s="1013">
        <v>6863293</v>
      </c>
    </row>
    <row r="9" spans="1:4" x14ac:dyDescent="0.35">
      <c r="A9" s="642" t="s">
        <v>711</v>
      </c>
      <c r="B9" s="854">
        <v>44804</v>
      </c>
      <c r="C9" s="642" t="s">
        <v>714</v>
      </c>
      <c r="D9" s="1013">
        <v>3161308.8</v>
      </c>
    </row>
    <row r="10" spans="1:4" x14ac:dyDescent="0.35">
      <c r="A10" s="642" t="s">
        <v>711</v>
      </c>
      <c r="B10" s="854">
        <v>44804</v>
      </c>
      <c r="C10" s="642" t="s">
        <v>712</v>
      </c>
      <c r="D10" s="1013">
        <v>2063</v>
      </c>
    </row>
    <row r="11" spans="1:4" x14ac:dyDescent="0.35">
      <c r="A11" s="642" t="s">
        <v>711</v>
      </c>
      <c r="B11" s="854">
        <v>44804</v>
      </c>
      <c r="C11" s="642" t="s">
        <v>713</v>
      </c>
      <c r="D11" s="1013">
        <v>57074.1</v>
      </c>
    </row>
    <row r="12" spans="1:4" x14ac:dyDescent="0.35">
      <c r="A12" s="642" t="s">
        <v>711</v>
      </c>
      <c r="B12" s="854">
        <v>44804</v>
      </c>
      <c r="C12" s="642" t="s">
        <v>709</v>
      </c>
      <c r="D12" s="1013">
        <v>47060.2</v>
      </c>
    </row>
    <row r="13" spans="1:4" s="894" customFormat="1" x14ac:dyDescent="0.35">
      <c r="A13" s="642"/>
      <c r="B13" s="854"/>
      <c r="C13" s="642"/>
      <c r="D13" s="1013">
        <f>SUM(D8:D12)</f>
        <v>10130799.1</v>
      </c>
    </row>
    <row r="14" spans="1:4" s="894" customFormat="1" x14ac:dyDescent="0.35">
      <c r="B14" s="853"/>
      <c r="D14" s="916"/>
    </row>
    <row r="15" spans="1:4" x14ac:dyDescent="0.35">
      <c r="A15" s="642" t="s">
        <v>715</v>
      </c>
      <c r="B15" s="854">
        <v>44804</v>
      </c>
      <c r="C15" s="642" t="s">
        <v>714</v>
      </c>
      <c r="D15" s="1013">
        <v>228684.7</v>
      </c>
    </row>
    <row r="16" spans="1:4" x14ac:dyDescent="0.35">
      <c r="A16" s="642" t="s">
        <v>715</v>
      </c>
      <c r="B16" s="854">
        <v>44804</v>
      </c>
      <c r="C16" s="642" t="s">
        <v>709</v>
      </c>
      <c r="D16" s="1013">
        <v>246711.12</v>
      </c>
    </row>
    <row r="17" spans="1:4" x14ac:dyDescent="0.35">
      <c r="A17" s="642" t="s">
        <v>715</v>
      </c>
      <c r="B17" s="854">
        <v>44804</v>
      </c>
      <c r="C17" s="642" t="s">
        <v>713</v>
      </c>
      <c r="D17" s="1013">
        <v>1506</v>
      </c>
    </row>
    <row r="18" spans="1:4" x14ac:dyDescent="0.35">
      <c r="A18" s="642" t="s">
        <v>715</v>
      </c>
      <c r="B18" s="854">
        <v>44804</v>
      </c>
      <c r="C18" s="642" t="s">
        <v>707</v>
      </c>
      <c r="D18" s="1013">
        <v>545565</v>
      </c>
    </row>
    <row r="19" spans="1:4" s="894" customFormat="1" x14ac:dyDescent="0.35">
      <c r="A19" s="642"/>
      <c r="B19" s="854"/>
      <c r="C19" s="642"/>
      <c r="D19" s="1013">
        <f>SUM(D15:D18)</f>
        <v>1022466.8200000001</v>
      </c>
    </row>
    <row r="20" spans="1:4" s="894" customFormat="1" x14ac:dyDescent="0.35">
      <c r="B20" s="853"/>
      <c r="D20" s="916"/>
    </row>
    <row r="21" spans="1:4" x14ac:dyDescent="0.35">
      <c r="A21" s="642" t="s">
        <v>716</v>
      </c>
      <c r="B21" s="854">
        <v>44804</v>
      </c>
      <c r="C21" s="642" t="s">
        <v>712</v>
      </c>
      <c r="D21" s="1013">
        <v>450</v>
      </c>
    </row>
    <row r="22" spans="1:4" x14ac:dyDescent="0.35">
      <c r="A22" s="642" t="s">
        <v>716</v>
      </c>
      <c r="B22" s="854">
        <v>44804</v>
      </c>
      <c r="C22" s="642" t="s">
        <v>709</v>
      </c>
      <c r="D22" s="1013">
        <v>50508.57</v>
      </c>
    </row>
    <row r="23" spans="1:4" x14ac:dyDescent="0.35">
      <c r="A23" s="642" t="s">
        <v>716</v>
      </c>
      <c r="B23" s="854">
        <v>44804</v>
      </c>
      <c r="C23" s="642" t="s">
        <v>713</v>
      </c>
      <c r="D23" s="1013">
        <v>2043.2</v>
      </c>
    </row>
    <row r="24" spans="1:4" x14ac:dyDescent="0.35">
      <c r="A24" s="642" t="s">
        <v>716</v>
      </c>
      <c r="B24" s="854">
        <v>44804</v>
      </c>
      <c r="C24" s="642" t="s">
        <v>707</v>
      </c>
      <c r="D24" s="1013">
        <v>537419</v>
      </c>
    </row>
    <row r="25" spans="1:4" x14ac:dyDescent="0.35">
      <c r="A25" s="642" t="s">
        <v>716</v>
      </c>
      <c r="B25" s="854">
        <v>44804</v>
      </c>
      <c r="C25" s="642" t="s">
        <v>714</v>
      </c>
      <c r="D25" s="1013">
        <v>265497.2</v>
      </c>
    </row>
    <row r="26" spans="1:4" s="894" customFormat="1" x14ac:dyDescent="0.35">
      <c r="A26" s="642"/>
      <c r="B26" s="854"/>
      <c r="C26" s="642"/>
      <c r="D26" s="1013">
        <f>SUM(D21:D25)</f>
        <v>855917.97</v>
      </c>
    </row>
    <row r="27" spans="1:4" s="894" customFormat="1" x14ac:dyDescent="0.35">
      <c r="B27" s="853"/>
      <c r="D27" s="916"/>
    </row>
    <row r="28" spans="1:4" x14ac:dyDescent="0.35">
      <c r="A28" s="642" t="s">
        <v>717</v>
      </c>
      <c r="B28" s="854">
        <v>44804</v>
      </c>
      <c r="C28" s="642" t="s">
        <v>713</v>
      </c>
      <c r="D28" s="1013">
        <v>41529.9</v>
      </c>
    </row>
    <row r="29" spans="1:4" x14ac:dyDescent="0.35">
      <c r="A29" s="642" t="s">
        <v>717</v>
      </c>
      <c r="B29" s="854">
        <v>44804</v>
      </c>
      <c r="C29" s="642" t="s">
        <v>719</v>
      </c>
      <c r="D29" s="1013">
        <v>3382.25</v>
      </c>
    </row>
    <row r="30" spans="1:4" x14ac:dyDescent="0.35">
      <c r="A30" s="642" t="s">
        <v>717</v>
      </c>
      <c r="B30" s="854">
        <v>44804</v>
      </c>
      <c r="C30" s="642" t="s">
        <v>709</v>
      </c>
      <c r="D30" s="1013">
        <v>704325.41</v>
      </c>
    </row>
    <row r="31" spans="1:4" x14ac:dyDescent="0.35">
      <c r="A31" s="642" t="s">
        <v>717</v>
      </c>
      <c r="B31" s="854">
        <v>44804</v>
      </c>
      <c r="C31" s="642" t="s">
        <v>724</v>
      </c>
      <c r="D31" s="1013">
        <v>0</v>
      </c>
    </row>
    <row r="32" spans="1:4" x14ac:dyDescent="0.35">
      <c r="A32" s="642" t="s">
        <v>717</v>
      </c>
      <c r="B32" s="854">
        <v>44804</v>
      </c>
      <c r="C32" s="642" t="s">
        <v>714</v>
      </c>
      <c r="D32" s="1013">
        <v>1847120.5</v>
      </c>
    </row>
    <row r="33" spans="1:4" x14ac:dyDescent="0.35">
      <c r="A33" s="642" t="s">
        <v>717</v>
      </c>
      <c r="B33" s="854">
        <v>44804</v>
      </c>
      <c r="C33" s="642" t="s">
        <v>712</v>
      </c>
      <c r="D33" s="1013">
        <v>359022.7</v>
      </c>
    </row>
    <row r="34" spans="1:4" x14ac:dyDescent="0.35">
      <c r="A34" s="642" t="s">
        <v>717</v>
      </c>
      <c r="B34" s="854">
        <v>44804</v>
      </c>
      <c r="C34" s="642" t="s">
        <v>710</v>
      </c>
      <c r="D34" s="1013">
        <v>12075.41</v>
      </c>
    </row>
    <row r="35" spans="1:4" x14ac:dyDescent="0.35">
      <c r="A35" s="642" t="s">
        <v>717</v>
      </c>
      <c r="B35" s="854">
        <v>44804</v>
      </c>
      <c r="C35" s="642" t="s">
        <v>707</v>
      </c>
      <c r="D35" s="1013">
        <v>6191585</v>
      </c>
    </row>
    <row r="36" spans="1:4" s="894" customFormat="1" x14ac:dyDescent="0.35">
      <c r="A36" s="642"/>
      <c r="B36" s="854"/>
      <c r="C36" s="642"/>
      <c r="D36" s="1013">
        <f>SUM(D28:D35)</f>
        <v>9159041.1699999999</v>
      </c>
    </row>
    <row r="37" spans="1:4" s="894" customFormat="1" x14ac:dyDescent="0.35">
      <c r="A37" s="642"/>
      <c r="B37" s="854"/>
      <c r="C37" s="642"/>
      <c r="D37" s="1013"/>
    </row>
    <row r="38" spans="1:4" x14ac:dyDescent="0.35">
      <c r="A38" s="642" t="s">
        <v>720</v>
      </c>
      <c r="B38" s="854">
        <v>44804</v>
      </c>
      <c r="C38" s="642" t="s">
        <v>719</v>
      </c>
      <c r="D38" s="1013">
        <v>5399.68</v>
      </c>
    </row>
    <row r="39" spans="1:4" x14ac:dyDescent="0.35">
      <c r="A39" s="642" t="s">
        <v>720</v>
      </c>
      <c r="B39" s="854">
        <v>44804</v>
      </c>
      <c r="C39" s="642" t="s">
        <v>713</v>
      </c>
      <c r="D39" s="1013">
        <v>2675.5</v>
      </c>
    </row>
    <row r="40" spans="1:4" x14ac:dyDescent="0.35">
      <c r="A40" s="642" t="s">
        <v>720</v>
      </c>
      <c r="B40" s="854">
        <v>44804</v>
      </c>
      <c r="C40" s="642" t="s">
        <v>709</v>
      </c>
      <c r="D40" s="1013">
        <v>317296.90999999997</v>
      </c>
    </row>
    <row r="41" spans="1:4" x14ac:dyDescent="0.35">
      <c r="A41" s="642" t="s">
        <v>720</v>
      </c>
      <c r="B41" s="854">
        <v>44804</v>
      </c>
      <c r="C41" s="642" t="s">
        <v>707</v>
      </c>
      <c r="D41" s="1013">
        <v>159081</v>
      </c>
    </row>
    <row r="42" spans="1:4" x14ac:dyDescent="0.35">
      <c r="A42" s="642" t="s">
        <v>720</v>
      </c>
      <c r="B42" s="854">
        <v>44804</v>
      </c>
      <c r="C42" s="642" t="s">
        <v>714</v>
      </c>
      <c r="D42" s="1013">
        <v>118838.3</v>
      </c>
    </row>
    <row r="43" spans="1:4" s="894" customFormat="1" x14ac:dyDescent="0.35">
      <c r="A43" s="642"/>
      <c r="B43" s="854"/>
      <c r="C43" s="642"/>
      <c r="D43" s="1013">
        <f>SUM(D38:D42)</f>
        <v>603291.39</v>
      </c>
    </row>
    <row r="44" spans="1:4" s="894" customFormat="1" x14ac:dyDescent="0.35">
      <c r="B44" s="853"/>
      <c r="D44" s="916"/>
    </row>
    <row r="45" spans="1:4" x14ac:dyDescent="0.35">
      <c r="A45" s="894" t="s">
        <v>721</v>
      </c>
      <c r="B45" s="853">
        <v>44804</v>
      </c>
      <c r="C45" s="894" t="s">
        <v>722</v>
      </c>
      <c r="D45" s="916">
        <v>0</v>
      </c>
    </row>
    <row r="46" spans="1:4" x14ac:dyDescent="0.35">
      <c r="A46" s="894" t="s">
        <v>721</v>
      </c>
      <c r="B46" s="853">
        <v>44804</v>
      </c>
      <c r="C46" s="894" t="s">
        <v>713</v>
      </c>
      <c r="D46" s="916">
        <v>4707.3</v>
      </c>
    </row>
    <row r="47" spans="1:4" x14ac:dyDescent="0.35">
      <c r="A47" s="894" t="s">
        <v>721</v>
      </c>
      <c r="B47" s="853">
        <v>44804</v>
      </c>
      <c r="C47" s="894" t="s">
        <v>709</v>
      </c>
      <c r="D47" s="916">
        <v>0</v>
      </c>
    </row>
    <row r="48" spans="1:4" x14ac:dyDescent="0.35">
      <c r="A48" s="894" t="s">
        <v>721</v>
      </c>
      <c r="B48" s="853">
        <v>44804</v>
      </c>
      <c r="C48" s="894" t="s">
        <v>718</v>
      </c>
      <c r="D48" s="916">
        <v>0</v>
      </c>
    </row>
    <row r="49" spans="1:4" x14ac:dyDescent="0.35">
      <c r="A49" s="894" t="s">
        <v>721</v>
      </c>
      <c r="B49" s="853">
        <v>44804</v>
      </c>
      <c r="C49" s="894" t="s">
        <v>719</v>
      </c>
      <c r="D49" s="916">
        <v>0</v>
      </c>
    </row>
    <row r="50" spans="1:4" x14ac:dyDescent="0.35">
      <c r="A50" s="894" t="s">
        <v>721</v>
      </c>
      <c r="B50" s="853">
        <v>44804</v>
      </c>
      <c r="C50" s="894" t="s">
        <v>714</v>
      </c>
      <c r="D50" s="916">
        <v>355244.3</v>
      </c>
    </row>
    <row r="51" spans="1:4" x14ac:dyDescent="0.35">
      <c r="A51" s="894" t="s">
        <v>721</v>
      </c>
      <c r="B51" s="853">
        <v>44804</v>
      </c>
      <c r="C51" s="894" t="s">
        <v>712</v>
      </c>
      <c r="D51" s="916">
        <v>17031</v>
      </c>
    </row>
    <row r="52" spans="1:4" x14ac:dyDescent="0.35">
      <c r="A52" s="894" t="s">
        <v>721</v>
      </c>
      <c r="B52" s="853">
        <v>44804</v>
      </c>
      <c r="C52" s="894" t="s">
        <v>707</v>
      </c>
      <c r="D52" s="916">
        <v>0</v>
      </c>
    </row>
    <row r="53" spans="1:4" s="894" customFormat="1" x14ac:dyDescent="0.35">
      <c r="B53" s="853"/>
      <c r="D53" s="916">
        <f>SUM(D45:D52)</f>
        <v>376982.6</v>
      </c>
    </row>
    <row r="54" spans="1:4" s="894" customFormat="1" x14ac:dyDescent="0.35">
      <c r="B54" s="853"/>
      <c r="D54" s="916"/>
    </row>
    <row r="55" spans="1:4" x14ac:dyDescent="0.35">
      <c r="A55" s="642" t="s">
        <v>723</v>
      </c>
      <c r="B55" s="854">
        <v>44804</v>
      </c>
      <c r="C55" s="642" t="s">
        <v>719</v>
      </c>
      <c r="D55" s="1013">
        <v>1714.25</v>
      </c>
    </row>
    <row r="56" spans="1:4" x14ac:dyDescent="0.35">
      <c r="A56" s="642" t="s">
        <v>723</v>
      </c>
      <c r="B56" s="854">
        <v>44804</v>
      </c>
      <c r="C56" s="642" t="s">
        <v>707</v>
      </c>
      <c r="D56" s="1013">
        <v>12844788.92</v>
      </c>
    </row>
    <row r="57" spans="1:4" x14ac:dyDescent="0.35">
      <c r="A57" s="642" t="s">
        <v>723</v>
      </c>
      <c r="B57" s="854">
        <v>44804</v>
      </c>
      <c r="C57" s="642" t="s">
        <v>713</v>
      </c>
      <c r="D57" s="1013">
        <v>70891</v>
      </c>
    </row>
    <row r="58" spans="1:4" x14ac:dyDescent="0.35">
      <c r="A58" s="642" t="s">
        <v>723</v>
      </c>
      <c r="B58" s="854">
        <v>44804</v>
      </c>
      <c r="C58" s="642" t="s">
        <v>709</v>
      </c>
      <c r="D58" s="1013">
        <v>1453624.53</v>
      </c>
    </row>
    <row r="59" spans="1:4" x14ac:dyDescent="0.35">
      <c r="A59" s="642" t="s">
        <v>723</v>
      </c>
      <c r="B59" s="854">
        <v>44804</v>
      </c>
      <c r="C59" s="642" t="s">
        <v>724</v>
      </c>
      <c r="D59" s="1013">
        <v>42796.28</v>
      </c>
    </row>
    <row r="60" spans="1:4" x14ac:dyDescent="0.35">
      <c r="A60" s="642" t="s">
        <v>723</v>
      </c>
      <c r="B60" s="854">
        <v>44804</v>
      </c>
      <c r="C60" s="642" t="s">
        <v>710</v>
      </c>
      <c r="D60" s="1013">
        <v>5038.97</v>
      </c>
    </row>
    <row r="61" spans="1:4" x14ac:dyDescent="0.35">
      <c r="A61" s="642" t="s">
        <v>723</v>
      </c>
      <c r="B61" s="854">
        <v>44804</v>
      </c>
      <c r="C61" s="642" t="s">
        <v>714</v>
      </c>
      <c r="D61" s="1013">
        <v>5191838.9000000004</v>
      </c>
    </row>
    <row r="62" spans="1:4" x14ac:dyDescent="0.35">
      <c r="A62" s="642" t="s">
        <v>723</v>
      </c>
      <c r="B62" s="854">
        <v>44804</v>
      </c>
      <c r="C62" s="642" t="s">
        <v>712</v>
      </c>
      <c r="D62" s="1013">
        <v>8708.9</v>
      </c>
    </row>
    <row r="63" spans="1:4" s="894" customFormat="1" x14ac:dyDescent="0.35">
      <c r="A63" s="642"/>
      <c r="B63" s="854"/>
      <c r="C63" s="642"/>
      <c r="D63" s="1013">
        <f>SUM(D55:D62)</f>
        <v>19619401.75</v>
      </c>
    </row>
    <row r="64" spans="1:4" s="894" customFormat="1" x14ac:dyDescent="0.35">
      <c r="B64" s="853"/>
      <c r="D64" s="916"/>
    </row>
    <row r="65" spans="1:4" x14ac:dyDescent="0.35">
      <c r="A65" s="642" t="s">
        <v>725</v>
      </c>
      <c r="B65" s="854">
        <v>44804</v>
      </c>
      <c r="C65" s="642" t="s">
        <v>713</v>
      </c>
      <c r="D65" s="1013">
        <v>8623.2000000000007</v>
      </c>
    </row>
    <row r="66" spans="1:4" x14ac:dyDescent="0.35">
      <c r="A66" s="642" t="s">
        <v>725</v>
      </c>
      <c r="B66" s="854">
        <v>44804</v>
      </c>
      <c r="C66" s="642" t="s">
        <v>712</v>
      </c>
      <c r="D66" s="1013">
        <v>690.1</v>
      </c>
    </row>
    <row r="67" spans="1:4" x14ac:dyDescent="0.35">
      <c r="A67" s="642" t="s">
        <v>725</v>
      </c>
      <c r="B67" s="854">
        <v>44804</v>
      </c>
      <c r="C67" s="642" t="s">
        <v>709</v>
      </c>
      <c r="D67" s="1013">
        <v>1257205.72</v>
      </c>
    </row>
    <row r="68" spans="1:4" x14ac:dyDescent="0.35">
      <c r="A68" s="642" t="s">
        <v>725</v>
      </c>
      <c r="B68" s="854">
        <v>44804</v>
      </c>
      <c r="C68" s="642" t="s">
        <v>707</v>
      </c>
      <c r="D68" s="1013">
        <v>150837</v>
      </c>
    </row>
    <row r="69" spans="1:4" x14ac:dyDescent="0.35">
      <c r="A69" s="642" t="s">
        <v>725</v>
      </c>
      <c r="B69" s="854">
        <v>44804</v>
      </c>
      <c r="C69" s="642" t="s">
        <v>714</v>
      </c>
      <c r="D69" s="1013">
        <v>539355.30000000005</v>
      </c>
    </row>
    <row r="70" spans="1:4" s="894" customFormat="1" x14ac:dyDescent="0.35">
      <c r="A70" s="642"/>
      <c r="B70" s="854"/>
      <c r="C70" s="642"/>
      <c r="D70" s="1013">
        <f>SUM(D65:D69)</f>
        <v>1956711.32</v>
      </c>
    </row>
    <row r="71" spans="1:4" s="894" customFormat="1" x14ac:dyDescent="0.35">
      <c r="B71" s="853"/>
      <c r="D71" s="916"/>
    </row>
    <row r="72" spans="1:4" x14ac:dyDescent="0.35">
      <c r="A72" s="642" t="s">
        <v>726</v>
      </c>
      <c r="B72" s="854">
        <v>44804</v>
      </c>
      <c r="C72" s="642" t="s">
        <v>713</v>
      </c>
      <c r="D72" s="1013">
        <v>11564.7</v>
      </c>
    </row>
    <row r="73" spans="1:4" x14ac:dyDescent="0.35">
      <c r="A73" s="642" t="s">
        <v>726</v>
      </c>
      <c r="B73" s="854">
        <v>44804</v>
      </c>
      <c r="C73" s="642" t="s">
        <v>719</v>
      </c>
      <c r="D73" s="1013">
        <v>2283.4</v>
      </c>
    </row>
    <row r="74" spans="1:4" x14ac:dyDescent="0.35">
      <c r="A74" s="642" t="s">
        <v>726</v>
      </c>
      <c r="B74" s="854">
        <v>44804</v>
      </c>
      <c r="C74" s="642" t="s">
        <v>709</v>
      </c>
      <c r="D74" s="1013">
        <v>689445.87</v>
      </c>
    </row>
    <row r="75" spans="1:4" x14ac:dyDescent="0.35">
      <c r="A75" s="642" t="s">
        <v>726</v>
      </c>
      <c r="B75" s="854">
        <v>44804</v>
      </c>
      <c r="C75" s="642" t="s">
        <v>714</v>
      </c>
      <c r="D75" s="1013">
        <v>1159940.8999999999</v>
      </c>
    </row>
    <row r="76" spans="1:4" x14ac:dyDescent="0.35">
      <c r="A76" s="642" t="s">
        <v>726</v>
      </c>
      <c r="B76" s="854">
        <v>44804</v>
      </c>
      <c r="C76" s="642" t="s">
        <v>707</v>
      </c>
      <c r="D76" s="1013">
        <v>2174119</v>
      </c>
    </row>
    <row r="77" spans="1:4" x14ac:dyDescent="0.35">
      <c r="A77" s="642" t="s">
        <v>726</v>
      </c>
      <c r="B77" s="854">
        <v>44804</v>
      </c>
      <c r="C77" s="642" t="s">
        <v>712</v>
      </c>
      <c r="D77" s="1013">
        <v>5218.8999999999996</v>
      </c>
    </row>
    <row r="78" spans="1:4" s="894" customFormat="1" x14ac:dyDescent="0.35">
      <c r="A78" s="642"/>
      <c r="B78" s="854"/>
      <c r="C78" s="642"/>
      <c r="D78" s="1013">
        <f>SUM(D72:D77)</f>
        <v>4042572.77</v>
      </c>
    </row>
    <row r="79" spans="1:4" s="894" customFormat="1" x14ac:dyDescent="0.35">
      <c r="B79" s="853"/>
      <c r="D79" s="916"/>
    </row>
    <row r="80" spans="1:4" x14ac:dyDescent="0.35">
      <c r="A80" s="642" t="s">
        <v>45</v>
      </c>
      <c r="B80" s="854">
        <v>44804</v>
      </c>
      <c r="C80" s="642" t="s">
        <v>714</v>
      </c>
      <c r="D80" s="1013">
        <v>19931.900000000001</v>
      </c>
    </row>
    <row r="81" spans="1:4" x14ac:dyDescent="0.35">
      <c r="A81" s="642" t="s">
        <v>45</v>
      </c>
      <c r="B81" s="854">
        <v>44804</v>
      </c>
      <c r="C81" s="642" t="s">
        <v>713</v>
      </c>
      <c r="D81" s="1013">
        <v>536.5</v>
      </c>
    </row>
    <row r="82" spans="1:4" x14ac:dyDescent="0.35">
      <c r="A82" s="642" t="s">
        <v>45</v>
      </c>
      <c r="B82" s="854">
        <v>44804</v>
      </c>
      <c r="C82" s="642" t="s">
        <v>709</v>
      </c>
      <c r="D82" s="1013">
        <v>64183.37</v>
      </c>
    </row>
    <row r="83" spans="1:4" s="894" customFormat="1" x14ac:dyDescent="0.35">
      <c r="A83" s="642"/>
      <c r="B83" s="854"/>
      <c r="C83" s="642"/>
      <c r="D83" s="1013">
        <f>SUM(D80:D82)</f>
        <v>84651.77</v>
      </c>
    </row>
    <row r="84" spans="1:4" s="894" customFormat="1" x14ac:dyDescent="0.35">
      <c r="B84" s="853"/>
      <c r="D84" s="916"/>
    </row>
    <row r="85" spans="1:4" x14ac:dyDescent="0.35">
      <c r="A85" s="642" t="s">
        <v>727</v>
      </c>
      <c r="B85" s="854">
        <v>44804</v>
      </c>
      <c r="C85" s="642" t="s">
        <v>712</v>
      </c>
      <c r="D85" s="1013">
        <v>80</v>
      </c>
    </row>
    <row r="86" spans="1:4" x14ac:dyDescent="0.35">
      <c r="A86" s="642" t="s">
        <v>727</v>
      </c>
      <c r="B86" s="854">
        <v>44804</v>
      </c>
      <c r="C86" s="642" t="s">
        <v>707</v>
      </c>
      <c r="D86" s="1013">
        <v>45993</v>
      </c>
    </row>
    <row r="87" spans="1:4" x14ac:dyDescent="0.35">
      <c r="A87" s="642" t="s">
        <v>727</v>
      </c>
      <c r="B87" s="854">
        <v>44804</v>
      </c>
      <c r="C87" s="642" t="s">
        <v>714</v>
      </c>
      <c r="D87" s="1013">
        <v>5567.7</v>
      </c>
    </row>
    <row r="88" spans="1:4" s="894" customFormat="1" x14ac:dyDescent="0.35">
      <c r="A88" s="642"/>
      <c r="B88" s="854"/>
      <c r="C88" s="642"/>
      <c r="D88" s="1013">
        <f>SUM(D85:D87)</f>
        <v>51640.7</v>
      </c>
    </row>
    <row r="89" spans="1:4" s="894" customFormat="1" x14ac:dyDescent="0.35">
      <c r="B89" s="853"/>
      <c r="D89" s="916"/>
    </row>
    <row r="90" spans="1:4" x14ac:dyDescent="0.35">
      <c r="A90" s="642" t="s">
        <v>728</v>
      </c>
      <c r="B90" s="854">
        <v>44804</v>
      </c>
      <c r="C90" s="642" t="s">
        <v>707</v>
      </c>
      <c r="D90" s="1013">
        <v>712150</v>
      </c>
    </row>
    <row r="91" spans="1:4" x14ac:dyDescent="0.35">
      <c r="A91" s="642" t="s">
        <v>728</v>
      </c>
      <c r="B91" s="854">
        <v>44804</v>
      </c>
      <c r="C91" s="642" t="s">
        <v>713</v>
      </c>
      <c r="D91" s="1013">
        <v>3828.8</v>
      </c>
    </row>
    <row r="92" spans="1:4" x14ac:dyDescent="0.35">
      <c r="A92" s="642" t="s">
        <v>728</v>
      </c>
      <c r="B92" s="854">
        <v>44804</v>
      </c>
      <c r="C92" s="642" t="s">
        <v>719</v>
      </c>
      <c r="D92" s="1013">
        <v>11692.35</v>
      </c>
    </row>
    <row r="93" spans="1:4" x14ac:dyDescent="0.35">
      <c r="A93" s="642" t="s">
        <v>728</v>
      </c>
      <c r="B93" s="854">
        <v>44804</v>
      </c>
      <c r="C93" s="642" t="s">
        <v>709</v>
      </c>
      <c r="D93" s="1013">
        <v>275993.71999999997</v>
      </c>
    </row>
    <row r="94" spans="1:4" x14ac:dyDescent="0.35">
      <c r="A94" s="642" t="s">
        <v>728</v>
      </c>
      <c r="B94" s="854">
        <v>44804</v>
      </c>
      <c r="C94" s="642" t="s">
        <v>714</v>
      </c>
      <c r="D94" s="1013">
        <v>367738.8</v>
      </c>
    </row>
    <row r="95" spans="1:4" x14ac:dyDescent="0.35">
      <c r="A95" s="642" t="s">
        <v>728</v>
      </c>
      <c r="B95" s="854">
        <v>44804</v>
      </c>
      <c r="C95" s="642" t="s">
        <v>712</v>
      </c>
      <c r="D95" s="1013">
        <v>3962</v>
      </c>
    </row>
    <row r="96" spans="1:4" s="894" customFormat="1" x14ac:dyDescent="0.35">
      <c r="A96" s="642"/>
      <c r="B96" s="854"/>
      <c r="C96" s="642"/>
      <c r="D96" s="1013">
        <f>SUM(D90:D95)</f>
        <v>1375365.67</v>
      </c>
    </row>
    <row r="97" spans="1:4" s="894" customFormat="1" x14ac:dyDescent="0.35">
      <c r="B97" s="853"/>
      <c r="D97" s="916"/>
    </row>
    <row r="98" spans="1:4" x14ac:dyDescent="0.35">
      <c r="A98" s="642" t="s">
        <v>729</v>
      </c>
      <c r="B98" s="854">
        <v>44804</v>
      </c>
      <c r="C98" s="642" t="s">
        <v>714</v>
      </c>
      <c r="D98" s="1013">
        <v>107000.7</v>
      </c>
    </row>
    <row r="99" spans="1:4" x14ac:dyDescent="0.35">
      <c r="A99" s="642" t="s">
        <v>729</v>
      </c>
      <c r="B99" s="854">
        <v>44804</v>
      </c>
      <c r="C99" s="642" t="s">
        <v>713</v>
      </c>
      <c r="D99" s="1013">
        <v>2044.5</v>
      </c>
    </row>
    <row r="100" spans="1:4" x14ac:dyDescent="0.35">
      <c r="A100" s="642" t="s">
        <v>729</v>
      </c>
      <c r="B100" s="854">
        <v>44804</v>
      </c>
      <c r="C100" s="642" t="s">
        <v>707</v>
      </c>
      <c r="D100" s="1013">
        <v>220491</v>
      </c>
    </row>
    <row r="101" spans="1:4" x14ac:dyDescent="0.35">
      <c r="A101" s="642" t="s">
        <v>729</v>
      </c>
      <c r="B101" s="854">
        <v>44804</v>
      </c>
      <c r="C101" s="642" t="s">
        <v>712</v>
      </c>
      <c r="D101" s="1013">
        <v>225</v>
      </c>
    </row>
    <row r="102" spans="1:4" s="894" customFormat="1" x14ac:dyDescent="0.35">
      <c r="A102" s="642"/>
      <c r="B102" s="854"/>
      <c r="C102" s="642"/>
      <c r="D102" s="1013">
        <f>SUM(D98:D101)</f>
        <v>329761.2</v>
      </c>
    </row>
    <row r="103" spans="1:4" s="894" customFormat="1" x14ac:dyDescent="0.35">
      <c r="B103" s="853"/>
      <c r="D103" s="916"/>
    </row>
    <row r="104" spans="1:4" x14ac:dyDescent="0.35">
      <c r="A104" s="642" t="s">
        <v>730</v>
      </c>
      <c r="B104" s="854">
        <v>44804</v>
      </c>
      <c r="C104" s="642" t="s">
        <v>713</v>
      </c>
      <c r="D104" s="1013">
        <v>11947.5</v>
      </c>
    </row>
    <row r="105" spans="1:4" x14ac:dyDescent="0.35">
      <c r="A105" s="642" t="s">
        <v>730</v>
      </c>
      <c r="B105" s="854">
        <v>44804</v>
      </c>
      <c r="C105" s="642" t="s">
        <v>709</v>
      </c>
      <c r="D105" s="1013">
        <v>752655.49</v>
      </c>
    </row>
    <row r="106" spans="1:4" x14ac:dyDescent="0.35">
      <c r="A106" s="642" t="s">
        <v>730</v>
      </c>
      <c r="B106" s="854">
        <v>44804</v>
      </c>
      <c r="C106" s="642" t="s">
        <v>719</v>
      </c>
      <c r="D106" s="1013">
        <v>16432.36</v>
      </c>
    </row>
    <row r="107" spans="1:4" x14ac:dyDescent="0.35">
      <c r="A107" s="642" t="s">
        <v>730</v>
      </c>
      <c r="B107" s="854">
        <v>44804</v>
      </c>
      <c r="C107" s="642" t="s">
        <v>707</v>
      </c>
      <c r="D107" s="1013">
        <v>928181</v>
      </c>
    </row>
    <row r="108" spans="1:4" x14ac:dyDescent="0.35">
      <c r="A108" s="642" t="s">
        <v>730</v>
      </c>
      <c r="B108" s="854">
        <v>44804</v>
      </c>
      <c r="C108" s="642" t="s">
        <v>714</v>
      </c>
      <c r="D108" s="1013">
        <v>643629.69999999995</v>
      </c>
    </row>
    <row r="109" spans="1:4" x14ac:dyDescent="0.35">
      <c r="A109" s="642" t="s">
        <v>730</v>
      </c>
      <c r="B109" s="854">
        <v>44804</v>
      </c>
      <c r="C109" s="642" t="s">
        <v>712</v>
      </c>
      <c r="D109" s="1013">
        <v>1871.8</v>
      </c>
    </row>
    <row r="110" spans="1:4" s="894" customFormat="1" x14ac:dyDescent="0.35">
      <c r="A110" s="642"/>
      <c r="B110" s="854"/>
      <c r="C110" s="642"/>
      <c r="D110" s="1013">
        <f>SUM(D104:D109)</f>
        <v>2354717.8499999996</v>
      </c>
    </row>
    <row r="111" spans="1:4" s="894" customFormat="1" x14ac:dyDescent="0.35">
      <c r="B111" s="853"/>
      <c r="D111" s="916"/>
    </row>
    <row r="112" spans="1:4" x14ac:dyDescent="0.35">
      <c r="A112" s="642" t="s">
        <v>731</v>
      </c>
      <c r="B112" s="854">
        <v>44804</v>
      </c>
      <c r="C112" s="642" t="s">
        <v>707</v>
      </c>
      <c r="D112" s="1013">
        <v>6755509.1600000001</v>
      </c>
    </row>
    <row r="113" spans="1:4" x14ac:dyDescent="0.35">
      <c r="A113" s="642" t="s">
        <v>731</v>
      </c>
      <c r="B113" s="854">
        <v>44804</v>
      </c>
      <c r="C113" s="642" t="s">
        <v>719</v>
      </c>
      <c r="D113" s="1013">
        <v>7995.03</v>
      </c>
    </row>
    <row r="114" spans="1:4" x14ac:dyDescent="0.35">
      <c r="A114" s="642" t="s">
        <v>731</v>
      </c>
      <c r="B114" s="854">
        <v>44804</v>
      </c>
      <c r="C114" s="642" t="s">
        <v>709</v>
      </c>
      <c r="D114" s="1013">
        <v>70050.2</v>
      </c>
    </row>
    <row r="115" spans="1:4" x14ac:dyDescent="0.35">
      <c r="A115" s="642" t="s">
        <v>731</v>
      </c>
      <c r="B115" s="854">
        <v>44804</v>
      </c>
      <c r="C115" s="642" t="s">
        <v>713</v>
      </c>
      <c r="D115" s="1013">
        <v>27300.1</v>
      </c>
    </row>
    <row r="116" spans="1:4" x14ac:dyDescent="0.35">
      <c r="A116" s="642" t="s">
        <v>731</v>
      </c>
      <c r="B116" s="854">
        <v>44804</v>
      </c>
      <c r="C116" s="642" t="s">
        <v>724</v>
      </c>
      <c r="D116" s="1013">
        <v>0</v>
      </c>
    </row>
    <row r="117" spans="1:4" x14ac:dyDescent="0.35">
      <c r="A117" s="642" t="s">
        <v>731</v>
      </c>
      <c r="B117" s="854">
        <v>44804</v>
      </c>
      <c r="C117" s="642" t="s">
        <v>712</v>
      </c>
      <c r="D117" s="1013">
        <v>38500.6</v>
      </c>
    </row>
    <row r="118" spans="1:4" x14ac:dyDescent="0.35">
      <c r="A118" s="642" t="s">
        <v>731</v>
      </c>
      <c r="B118" s="854">
        <v>44804</v>
      </c>
      <c r="C118" s="642" t="s">
        <v>710</v>
      </c>
      <c r="D118" s="1013">
        <v>7262.8</v>
      </c>
    </row>
    <row r="119" spans="1:4" x14ac:dyDescent="0.35">
      <c r="A119" s="642" t="s">
        <v>731</v>
      </c>
      <c r="B119" s="854">
        <v>44804</v>
      </c>
      <c r="C119" s="642" t="s">
        <v>714</v>
      </c>
      <c r="D119" s="1013">
        <v>1684869.6</v>
      </c>
    </row>
    <row r="120" spans="1:4" s="894" customFormat="1" x14ac:dyDescent="0.35">
      <c r="A120" s="642"/>
      <c r="B120" s="854"/>
      <c r="C120" s="642"/>
      <c r="D120" s="1013">
        <f>SUM(D112:D119)</f>
        <v>8591487.4900000002</v>
      </c>
    </row>
    <row r="121" spans="1:4" s="894" customFormat="1" x14ac:dyDescent="0.35">
      <c r="B121" s="853"/>
      <c r="D121" s="916"/>
    </row>
    <row r="122" spans="1:4" x14ac:dyDescent="0.35">
      <c r="A122" s="642" t="s">
        <v>732</v>
      </c>
      <c r="B122" s="854">
        <v>44804</v>
      </c>
      <c r="C122" s="642" t="s">
        <v>707</v>
      </c>
      <c r="D122" s="1013">
        <v>489977</v>
      </c>
    </row>
    <row r="123" spans="1:4" x14ac:dyDescent="0.35">
      <c r="A123" s="642" t="s">
        <v>732</v>
      </c>
      <c r="B123" s="854">
        <v>44804</v>
      </c>
      <c r="C123" s="642" t="s">
        <v>713</v>
      </c>
      <c r="D123" s="1013">
        <v>2576.5</v>
      </c>
    </row>
    <row r="124" spans="1:4" x14ac:dyDescent="0.35">
      <c r="A124" s="642" t="s">
        <v>732</v>
      </c>
      <c r="B124" s="854">
        <v>44804</v>
      </c>
      <c r="C124" s="642" t="s">
        <v>719</v>
      </c>
      <c r="D124" s="1013">
        <v>13471.19</v>
      </c>
    </row>
    <row r="125" spans="1:4" x14ac:dyDescent="0.35">
      <c r="A125" s="642" t="s">
        <v>732</v>
      </c>
      <c r="B125" s="854">
        <v>44804</v>
      </c>
      <c r="C125" s="642" t="s">
        <v>709</v>
      </c>
      <c r="D125" s="1013">
        <v>52341.33</v>
      </c>
    </row>
    <row r="126" spans="1:4" x14ac:dyDescent="0.35">
      <c r="A126" s="642" t="s">
        <v>732</v>
      </c>
      <c r="B126" s="854">
        <v>44804</v>
      </c>
      <c r="C126" s="642" t="s">
        <v>714</v>
      </c>
      <c r="D126" s="1013">
        <v>165075.9</v>
      </c>
    </row>
    <row r="127" spans="1:4" x14ac:dyDescent="0.35">
      <c r="A127" s="642" t="s">
        <v>732</v>
      </c>
      <c r="B127" s="854">
        <v>44804</v>
      </c>
      <c r="C127" s="642" t="s">
        <v>712</v>
      </c>
      <c r="D127" s="1013">
        <v>920</v>
      </c>
    </row>
    <row r="128" spans="1:4" s="894" customFormat="1" x14ac:dyDescent="0.35">
      <c r="A128" s="642"/>
      <c r="B128" s="854"/>
      <c r="C128" s="642"/>
      <c r="D128" s="1013">
        <f>SUM(D122:D127)</f>
        <v>724361.92</v>
      </c>
    </row>
    <row r="129" spans="1:4" s="894" customFormat="1" x14ac:dyDescent="0.35">
      <c r="B129" s="853"/>
      <c r="D129" s="916"/>
    </row>
    <row r="130" spans="1:4" x14ac:dyDescent="0.35">
      <c r="A130" s="642" t="s">
        <v>777</v>
      </c>
      <c r="B130" s="854">
        <v>44804</v>
      </c>
      <c r="C130" s="642" t="s">
        <v>714</v>
      </c>
      <c r="D130" s="1013">
        <v>11909.4</v>
      </c>
    </row>
    <row r="131" spans="1:4" x14ac:dyDescent="0.35">
      <c r="A131" s="642" t="s">
        <v>777</v>
      </c>
      <c r="B131" s="854">
        <v>44804</v>
      </c>
      <c r="C131" s="642" t="s">
        <v>712</v>
      </c>
      <c r="D131" s="1013">
        <v>100</v>
      </c>
    </row>
    <row r="132" spans="1:4" x14ac:dyDescent="0.35">
      <c r="A132" s="642" t="s">
        <v>777</v>
      </c>
      <c r="B132" s="854">
        <v>44804</v>
      </c>
      <c r="C132" s="642" t="s">
        <v>713</v>
      </c>
      <c r="D132" s="1013">
        <v>52</v>
      </c>
    </row>
    <row r="133" spans="1:4" x14ac:dyDescent="0.35">
      <c r="A133" s="642" t="s">
        <v>777</v>
      </c>
      <c r="B133" s="854">
        <v>44804</v>
      </c>
      <c r="C133" s="642" t="s">
        <v>709</v>
      </c>
      <c r="D133" s="1013">
        <v>34735.72</v>
      </c>
    </row>
    <row r="134" spans="1:4" s="894" customFormat="1" x14ac:dyDescent="0.35">
      <c r="A134" s="642"/>
      <c r="B134" s="854"/>
      <c r="C134" s="642"/>
      <c r="D134" s="1013">
        <f>SUM(D130:D133)</f>
        <v>46797.120000000003</v>
      </c>
    </row>
    <row r="135" spans="1:4" s="894" customFormat="1" x14ac:dyDescent="0.35">
      <c r="B135" s="853"/>
      <c r="D135" s="916"/>
    </row>
    <row r="136" spans="1:4" x14ac:dyDescent="0.35">
      <c r="A136" s="642" t="s">
        <v>483</v>
      </c>
      <c r="B136" s="854">
        <v>44804</v>
      </c>
      <c r="C136" s="642" t="s">
        <v>714</v>
      </c>
      <c r="D136" s="1013">
        <v>13836.9</v>
      </c>
    </row>
    <row r="137" spans="1:4" x14ac:dyDescent="0.35">
      <c r="A137" s="642" t="s">
        <v>483</v>
      </c>
      <c r="B137" s="854">
        <v>44804</v>
      </c>
      <c r="C137" s="642" t="s">
        <v>709</v>
      </c>
      <c r="D137" s="1013">
        <v>34735.72</v>
      </c>
    </row>
    <row r="138" spans="1:4" s="894" customFormat="1" x14ac:dyDescent="0.35">
      <c r="A138" s="642"/>
      <c r="B138" s="854"/>
      <c r="C138" s="642"/>
      <c r="D138" s="1013">
        <f>SUM(D136:D137)</f>
        <v>48572.62</v>
      </c>
    </row>
    <row r="139" spans="1:4" s="894" customFormat="1" x14ac:dyDescent="0.35">
      <c r="B139" s="853"/>
      <c r="D139" s="916"/>
    </row>
    <row r="140" spans="1:4" x14ac:dyDescent="0.35">
      <c r="A140" s="642" t="s">
        <v>734</v>
      </c>
      <c r="B140" s="854">
        <v>44804</v>
      </c>
      <c r="C140" s="642" t="s">
        <v>714</v>
      </c>
      <c r="D140" s="1013">
        <v>960.4</v>
      </c>
    </row>
    <row r="141" spans="1:4" x14ac:dyDescent="0.35">
      <c r="A141" s="642" t="s">
        <v>734</v>
      </c>
      <c r="B141" s="854">
        <v>44804</v>
      </c>
      <c r="C141" s="642" t="s">
        <v>712</v>
      </c>
      <c r="D141" s="1013">
        <v>100</v>
      </c>
    </row>
    <row r="142" spans="1:4" x14ac:dyDescent="0.35">
      <c r="A142" s="642" t="s">
        <v>734</v>
      </c>
      <c r="B142" s="854">
        <v>44804</v>
      </c>
      <c r="C142" s="642" t="s">
        <v>719</v>
      </c>
      <c r="D142" s="1013">
        <v>1889.4</v>
      </c>
    </row>
    <row r="143" spans="1:4" s="894" customFormat="1" x14ac:dyDescent="0.35">
      <c r="A143" s="642"/>
      <c r="B143" s="854"/>
      <c r="C143" s="642"/>
      <c r="D143" s="1013">
        <f>SUM(D140:D142)</f>
        <v>2949.8</v>
      </c>
    </row>
    <row r="144" spans="1:4" s="894" customFormat="1" x14ac:dyDescent="0.35">
      <c r="B144" s="853"/>
      <c r="D144" s="916"/>
    </row>
    <row r="145" spans="1:4" x14ac:dyDescent="0.35">
      <c r="A145" s="642" t="s">
        <v>736</v>
      </c>
      <c r="B145" s="854">
        <v>44804</v>
      </c>
      <c r="C145" s="642" t="s">
        <v>714</v>
      </c>
      <c r="D145" s="1013">
        <v>389628.3</v>
      </c>
    </row>
    <row r="146" spans="1:4" x14ac:dyDescent="0.35">
      <c r="A146" s="642" t="s">
        <v>736</v>
      </c>
      <c r="B146" s="854">
        <v>44804</v>
      </c>
      <c r="C146" s="642" t="s">
        <v>718</v>
      </c>
      <c r="D146" s="1013">
        <v>-149161</v>
      </c>
    </row>
    <row r="147" spans="1:4" x14ac:dyDescent="0.35">
      <c r="A147" s="642" t="s">
        <v>736</v>
      </c>
      <c r="B147" s="854">
        <v>44804</v>
      </c>
      <c r="C147" s="642" t="s">
        <v>713</v>
      </c>
      <c r="D147" s="1013">
        <v>3543.5</v>
      </c>
    </row>
    <row r="148" spans="1:4" x14ac:dyDescent="0.35">
      <c r="A148" s="642" t="s">
        <v>736</v>
      </c>
      <c r="B148" s="854">
        <v>44804</v>
      </c>
      <c r="C148" s="642" t="s">
        <v>709</v>
      </c>
      <c r="D148" s="1013">
        <v>78866.06</v>
      </c>
    </row>
    <row r="149" spans="1:4" x14ac:dyDescent="0.35">
      <c r="A149" s="642" t="s">
        <v>736</v>
      </c>
      <c r="B149" s="854">
        <v>44804</v>
      </c>
      <c r="C149" s="642" t="s">
        <v>712</v>
      </c>
      <c r="D149" s="1013">
        <v>1237</v>
      </c>
    </row>
    <row r="150" spans="1:4" x14ac:dyDescent="0.35">
      <c r="A150" s="642" t="s">
        <v>736</v>
      </c>
      <c r="B150" s="854">
        <v>44804</v>
      </c>
      <c r="C150" s="642" t="s">
        <v>707</v>
      </c>
      <c r="D150" s="1013">
        <v>520809</v>
      </c>
    </row>
    <row r="151" spans="1:4" s="894" customFormat="1" x14ac:dyDescent="0.35">
      <c r="A151" s="642"/>
      <c r="B151" s="854"/>
      <c r="C151" s="642"/>
      <c r="D151" s="1013">
        <f>SUM(D145:D150)</f>
        <v>844922.86</v>
      </c>
    </row>
    <row r="152" spans="1:4" s="894" customFormat="1" x14ac:dyDescent="0.35">
      <c r="B152" s="853"/>
      <c r="D152" s="916"/>
    </row>
    <row r="153" spans="1:4" x14ac:dyDescent="0.35">
      <c r="A153" s="642" t="s">
        <v>511</v>
      </c>
      <c r="B153" s="854">
        <v>44804</v>
      </c>
      <c r="C153" s="642" t="s">
        <v>709</v>
      </c>
      <c r="D153" s="1013">
        <v>24282.17</v>
      </c>
    </row>
    <row r="154" spans="1:4" x14ac:dyDescent="0.35">
      <c r="A154" s="642" t="s">
        <v>511</v>
      </c>
      <c r="B154" s="854">
        <v>44804</v>
      </c>
      <c r="C154" s="642" t="s">
        <v>719</v>
      </c>
      <c r="D154" s="1013">
        <v>1981.12</v>
      </c>
    </row>
    <row r="155" spans="1:4" x14ac:dyDescent="0.35">
      <c r="A155" s="642" t="s">
        <v>511</v>
      </c>
      <c r="B155" s="854">
        <v>44804</v>
      </c>
      <c r="C155" s="642" t="s">
        <v>714</v>
      </c>
      <c r="D155" s="1013">
        <v>13242</v>
      </c>
    </row>
    <row r="156" spans="1:4" s="894" customFormat="1" x14ac:dyDescent="0.35">
      <c r="A156" s="642"/>
      <c r="B156" s="854"/>
      <c r="C156" s="642"/>
      <c r="D156" s="1013">
        <f>SUM(D152:D155)</f>
        <v>39505.289999999994</v>
      </c>
    </row>
    <row r="157" spans="1:4" s="894" customFormat="1" x14ac:dyDescent="0.35">
      <c r="B157" s="853"/>
      <c r="D157" s="916"/>
    </row>
    <row r="158" spans="1:4" x14ac:dyDescent="0.35">
      <c r="A158" s="642" t="s">
        <v>737</v>
      </c>
      <c r="B158" s="854">
        <v>44804</v>
      </c>
      <c r="C158" s="642" t="s">
        <v>714</v>
      </c>
      <c r="D158" s="1013">
        <v>12452.7</v>
      </c>
    </row>
    <row r="159" spans="1:4" x14ac:dyDescent="0.35">
      <c r="A159" s="642" t="s">
        <v>737</v>
      </c>
      <c r="B159" s="854">
        <v>44804</v>
      </c>
      <c r="C159" s="642" t="s">
        <v>713</v>
      </c>
      <c r="D159" s="1013">
        <v>114.5</v>
      </c>
    </row>
    <row r="160" spans="1:4" x14ac:dyDescent="0.35">
      <c r="A160" s="642" t="s">
        <v>737</v>
      </c>
      <c r="B160" s="854">
        <v>44804</v>
      </c>
      <c r="C160" s="642" t="s">
        <v>707</v>
      </c>
      <c r="D160" s="1013">
        <v>29244</v>
      </c>
    </row>
    <row r="161" spans="1:4" x14ac:dyDescent="0.35">
      <c r="A161" s="642" t="s">
        <v>737</v>
      </c>
      <c r="B161" s="854">
        <v>44804</v>
      </c>
      <c r="C161" s="642" t="s">
        <v>712</v>
      </c>
      <c r="D161" s="1013">
        <v>90</v>
      </c>
    </row>
    <row r="162" spans="1:4" s="894" customFormat="1" x14ac:dyDescent="0.35">
      <c r="A162" s="642"/>
      <c r="B162" s="854"/>
      <c r="C162" s="642"/>
      <c r="D162" s="1013">
        <f>SUM(D158:D161)</f>
        <v>41901.199999999997</v>
      </c>
    </row>
    <row r="163" spans="1:4" s="894" customFormat="1" x14ac:dyDescent="0.35">
      <c r="B163" s="853"/>
      <c r="D163" s="916"/>
    </row>
    <row r="164" spans="1:4" x14ac:dyDescent="0.35">
      <c r="A164" s="642" t="s">
        <v>738</v>
      </c>
      <c r="B164" s="854">
        <v>44804</v>
      </c>
      <c r="C164" s="642" t="s">
        <v>707</v>
      </c>
      <c r="D164" s="1013">
        <v>8976</v>
      </c>
    </row>
    <row r="165" spans="1:4" x14ac:dyDescent="0.35">
      <c r="A165" s="642" t="s">
        <v>738</v>
      </c>
      <c r="B165" s="854">
        <v>44804</v>
      </c>
      <c r="C165" s="642" t="s">
        <v>714</v>
      </c>
      <c r="D165" s="1013">
        <v>4132.8</v>
      </c>
    </row>
    <row r="166" spans="1:4" s="894" customFormat="1" x14ac:dyDescent="0.35">
      <c r="A166" s="642"/>
      <c r="B166" s="854"/>
      <c r="C166" s="642"/>
      <c r="D166" s="1013">
        <f>SUM(D164:D165)</f>
        <v>13108.8</v>
      </c>
    </row>
    <row r="167" spans="1:4" s="894" customFormat="1" x14ac:dyDescent="0.35">
      <c r="B167" s="853"/>
      <c r="D167" s="916"/>
    </row>
    <row r="168" spans="1:4" x14ac:dyDescent="0.35">
      <c r="A168" s="642" t="s">
        <v>739</v>
      </c>
      <c r="B168" s="854">
        <v>44804</v>
      </c>
      <c r="C168" s="642" t="s">
        <v>707</v>
      </c>
      <c r="D168" s="1013">
        <v>215009</v>
      </c>
    </row>
    <row r="169" spans="1:4" x14ac:dyDescent="0.35">
      <c r="A169" s="642" t="s">
        <v>739</v>
      </c>
      <c r="B169" s="854">
        <v>44804</v>
      </c>
      <c r="C169" s="642" t="s">
        <v>712</v>
      </c>
      <c r="D169" s="1013">
        <v>1235</v>
      </c>
    </row>
    <row r="170" spans="1:4" x14ac:dyDescent="0.35">
      <c r="A170" s="642" t="s">
        <v>739</v>
      </c>
      <c r="B170" s="854">
        <v>44804</v>
      </c>
      <c r="C170" s="642" t="s">
        <v>714</v>
      </c>
      <c r="D170" s="1013">
        <v>81184.3</v>
      </c>
    </row>
    <row r="171" spans="1:4" x14ac:dyDescent="0.35">
      <c r="A171" s="642" t="s">
        <v>739</v>
      </c>
      <c r="B171" s="854">
        <v>44804</v>
      </c>
      <c r="C171" s="642" t="s">
        <v>760</v>
      </c>
      <c r="D171" s="1013">
        <v>-463.46</v>
      </c>
    </row>
    <row r="172" spans="1:4" x14ac:dyDescent="0.35">
      <c r="A172" s="642" t="s">
        <v>739</v>
      </c>
      <c r="B172" s="854">
        <v>44804</v>
      </c>
      <c r="C172" s="642" t="s">
        <v>709</v>
      </c>
      <c r="D172" s="1013">
        <v>26831.61</v>
      </c>
    </row>
    <row r="173" spans="1:4" x14ac:dyDescent="0.35">
      <c r="A173" s="642" t="s">
        <v>739</v>
      </c>
      <c r="B173" s="854">
        <v>44804</v>
      </c>
      <c r="C173" s="642" t="s">
        <v>713</v>
      </c>
      <c r="D173" s="1013">
        <v>563.5</v>
      </c>
    </row>
    <row r="174" spans="1:4" s="894" customFormat="1" x14ac:dyDescent="0.35">
      <c r="A174" s="642"/>
      <c r="B174" s="854"/>
      <c r="C174" s="642"/>
      <c r="D174" s="1013">
        <f>SUM(D168:D173)</f>
        <v>324359.94999999995</v>
      </c>
    </row>
    <row r="175" spans="1:4" s="894" customFormat="1" x14ac:dyDescent="0.35">
      <c r="B175" s="853"/>
      <c r="D175" s="916"/>
    </row>
    <row r="176" spans="1:4" ht="21.65" customHeight="1" x14ac:dyDescent="0.35">
      <c r="A176" s="642" t="s">
        <v>740</v>
      </c>
      <c r="B176" s="854">
        <v>44804</v>
      </c>
      <c r="C176" s="642" t="s">
        <v>707</v>
      </c>
      <c r="D176" s="1013">
        <v>43508</v>
      </c>
    </row>
    <row r="177" spans="1:4" x14ac:dyDescent="0.35">
      <c r="A177" s="642" t="s">
        <v>740</v>
      </c>
      <c r="B177" s="854">
        <v>44804</v>
      </c>
      <c r="C177" s="642" t="s">
        <v>713</v>
      </c>
      <c r="D177" s="1013">
        <v>737.5</v>
      </c>
    </row>
    <row r="178" spans="1:4" x14ac:dyDescent="0.35">
      <c r="A178" s="642" t="s">
        <v>740</v>
      </c>
      <c r="B178" s="854">
        <v>44804</v>
      </c>
      <c r="C178" s="642" t="s">
        <v>714</v>
      </c>
      <c r="D178" s="1013">
        <v>26210.5</v>
      </c>
    </row>
    <row r="179" spans="1:4" s="894" customFormat="1" x14ac:dyDescent="0.35">
      <c r="A179" s="642"/>
      <c r="B179" s="854"/>
      <c r="C179" s="642"/>
      <c r="D179" s="1013">
        <f>SUM(D176:D178)</f>
        <v>70456</v>
      </c>
    </row>
    <row r="180" spans="1:4" s="894" customFormat="1" x14ac:dyDescent="0.35">
      <c r="B180" s="853"/>
      <c r="D180" s="916"/>
    </row>
    <row r="181" spans="1:4" x14ac:dyDescent="0.35">
      <c r="A181" s="642" t="s">
        <v>741</v>
      </c>
      <c r="B181" s="854">
        <v>44804</v>
      </c>
      <c r="C181" s="642" t="s">
        <v>712</v>
      </c>
      <c r="D181" s="1013">
        <v>42</v>
      </c>
    </row>
    <row r="182" spans="1:4" x14ac:dyDescent="0.35">
      <c r="A182" s="642" t="s">
        <v>741</v>
      </c>
      <c r="B182" s="854">
        <v>44804</v>
      </c>
      <c r="C182" s="642" t="s">
        <v>714</v>
      </c>
      <c r="D182" s="1013">
        <v>23134.7</v>
      </c>
    </row>
    <row r="183" spans="1:4" x14ac:dyDescent="0.35">
      <c r="A183" s="642" t="s">
        <v>741</v>
      </c>
      <c r="B183" s="854">
        <v>44804</v>
      </c>
      <c r="C183" s="642" t="s">
        <v>709</v>
      </c>
      <c r="D183" s="1013">
        <v>125299.98</v>
      </c>
    </row>
    <row r="184" spans="1:4" x14ac:dyDescent="0.35">
      <c r="A184" s="642" t="s">
        <v>741</v>
      </c>
      <c r="B184" s="854">
        <v>44804</v>
      </c>
      <c r="C184" s="642" t="s">
        <v>713</v>
      </c>
      <c r="D184" s="1013">
        <v>153</v>
      </c>
    </row>
    <row r="185" spans="1:4" s="894" customFormat="1" x14ac:dyDescent="0.35">
      <c r="A185" s="642"/>
      <c r="B185" s="854"/>
      <c r="C185" s="642"/>
      <c r="D185" s="1013">
        <f>SUM(D181:D184)</f>
        <v>148629.68</v>
      </c>
    </row>
    <row r="186" spans="1:4" s="894" customFormat="1" x14ac:dyDescent="0.35">
      <c r="B186" s="853"/>
      <c r="D186" s="916"/>
    </row>
    <row r="187" spans="1:4" x14ac:dyDescent="0.35">
      <c r="A187" s="642" t="s">
        <v>742</v>
      </c>
      <c r="B187" s="854">
        <v>44804</v>
      </c>
      <c r="C187" s="642" t="s">
        <v>714</v>
      </c>
      <c r="D187" s="1013">
        <v>250685.1</v>
      </c>
    </row>
    <row r="188" spans="1:4" x14ac:dyDescent="0.35">
      <c r="A188" s="642" t="s">
        <v>742</v>
      </c>
      <c r="B188" s="854">
        <v>44804</v>
      </c>
      <c r="C188" s="642" t="s">
        <v>712</v>
      </c>
      <c r="D188" s="1013">
        <v>803</v>
      </c>
    </row>
    <row r="189" spans="1:4" x14ac:dyDescent="0.35">
      <c r="A189" s="642" t="s">
        <v>742</v>
      </c>
      <c r="B189" s="854">
        <v>44804</v>
      </c>
      <c r="C189" s="642" t="s">
        <v>707</v>
      </c>
      <c r="D189" s="1013">
        <v>873945</v>
      </c>
    </row>
    <row r="190" spans="1:4" x14ac:dyDescent="0.35">
      <c r="A190" s="642" t="s">
        <v>742</v>
      </c>
      <c r="B190" s="854">
        <v>44804</v>
      </c>
      <c r="C190" s="642" t="s">
        <v>713</v>
      </c>
      <c r="D190" s="1013">
        <v>6988.5</v>
      </c>
    </row>
    <row r="191" spans="1:4" x14ac:dyDescent="0.35">
      <c r="A191" s="642" t="s">
        <v>742</v>
      </c>
      <c r="B191" s="854">
        <v>44804</v>
      </c>
      <c r="C191" s="642" t="s">
        <v>709</v>
      </c>
      <c r="D191" s="1013">
        <v>8847.52</v>
      </c>
    </row>
    <row r="192" spans="1:4" s="894" customFormat="1" x14ac:dyDescent="0.35">
      <c r="A192" s="642"/>
      <c r="B192" s="854"/>
      <c r="C192" s="642"/>
      <c r="D192" s="1013">
        <f>SUM(D187:D191)</f>
        <v>1141269.1200000001</v>
      </c>
    </row>
    <row r="193" spans="1:4" s="894" customFormat="1" x14ac:dyDescent="0.35">
      <c r="B193" s="853"/>
      <c r="D193" s="916"/>
    </row>
    <row r="194" spans="1:4" x14ac:dyDescent="0.35">
      <c r="A194" s="642" t="s">
        <v>743</v>
      </c>
      <c r="B194" s="854">
        <v>44804</v>
      </c>
      <c r="C194" s="642" t="s">
        <v>707</v>
      </c>
      <c r="D194" s="1013">
        <v>377947</v>
      </c>
    </row>
    <row r="195" spans="1:4" x14ac:dyDescent="0.35">
      <c r="A195" s="642" t="s">
        <v>743</v>
      </c>
      <c r="B195" s="854">
        <v>44804</v>
      </c>
      <c r="C195" s="642" t="s">
        <v>714</v>
      </c>
      <c r="D195" s="1013">
        <v>119990.8</v>
      </c>
    </row>
    <row r="196" spans="1:4" x14ac:dyDescent="0.35">
      <c r="A196" s="642" t="s">
        <v>743</v>
      </c>
      <c r="B196" s="854">
        <v>44804</v>
      </c>
      <c r="C196" s="642" t="s">
        <v>713</v>
      </c>
      <c r="D196" s="1013">
        <v>5241.5</v>
      </c>
    </row>
    <row r="197" spans="1:4" x14ac:dyDescent="0.35">
      <c r="A197" s="642" t="s">
        <v>743</v>
      </c>
      <c r="B197" s="854">
        <v>44804</v>
      </c>
      <c r="C197" s="642" t="s">
        <v>709</v>
      </c>
      <c r="D197" s="1013">
        <v>20178.95</v>
      </c>
    </row>
    <row r="198" spans="1:4" x14ac:dyDescent="0.35">
      <c r="A198" s="642" t="s">
        <v>743</v>
      </c>
      <c r="B198" s="854">
        <v>44804</v>
      </c>
      <c r="C198" s="642" t="s">
        <v>710</v>
      </c>
      <c r="D198" s="1013">
        <v>2899.24</v>
      </c>
    </row>
    <row r="199" spans="1:4" x14ac:dyDescent="0.35">
      <c r="A199" s="642" t="s">
        <v>743</v>
      </c>
      <c r="B199" s="854">
        <v>44804</v>
      </c>
      <c r="C199" s="642" t="s">
        <v>712</v>
      </c>
      <c r="D199" s="1013">
        <v>300</v>
      </c>
    </row>
    <row r="200" spans="1:4" s="894" customFormat="1" x14ac:dyDescent="0.35">
      <c r="A200" s="642"/>
      <c r="B200" s="854"/>
      <c r="C200" s="642"/>
      <c r="D200" s="1013">
        <f>SUM(D194:D199)</f>
        <v>526557.49</v>
      </c>
    </row>
    <row r="201" spans="1:4" s="894" customFormat="1" x14ac:dyDescent="0.35">
      <c r="B201" s="853"/>
      <c r="D201" s="916"/>
    </row>
    <row r="202" spans="1:4" x14ac:dyDescent="0.35">
      <c r="A202" s="642" t="s">
        <v>526</v>
      </c>
      <c r="B202" s="854">
        <v>44804</v>
      </c>
      <c r="C202" s="642" t="s">
        <v>714</v>
      </c>
      <c r="D202" s="1013">
        <v>363899.6</v>
      </c>
    </row>
    <row r="203" spans="1:4" x14ac:dyDescent="0.35">
      <c r="A203" s="642" t="s">
        <v>526</v>
      </c>
      <c r="B203" s="854">
        <v>44804</v>
      </c>
      <c r="C203" s="642" t="s">
        <v>712</v>
      </c>
      <c r="D203" s="1013">
        <v>1090</v>
      </c>
    </row>
    <row r="204" spans="1:4" x14ac:dyDescent="0.35">
      <c r="A204" s="642" t="s">
        <v>526</v>
      </c>
      <c r="B204" s="854">
        <v>44804</v>
      </c>
      <c r="C204" s="642" t="s">
        <v>707</v>
      </c>
      <c r="D204" s="1013">
        <v>1435308</v>
      </c>
    </row>
    <row r="205" spans="1:4" x14ac:dyDescent="0.35">
      <c r="A205" s="642" t="s">
        <v>526</v>
      </c>
      <c r="B205" s="854">
        <v>44804</v>
      </c>
      <c r="C205" s="642" t="s">
        <v>713</v>
      </c>
      <c r="D205" s="1013">
        <v>2106</v>
      </c>
    </row>
    <row r="206" spans="1:4" s="894" customFormat="1" x14ac:dyDescent="0.35">
      <c r="A206" s="642"/>
      <c r="B206" s="854"/>
      <c r="C206" s="642"/>
      <c r="D206" s="1013">
        <f>SUM(D202:D205)</f>
        <v>1802403.6</v>
      </c>
    </row>
    <row r="207" spans="1:4" s="894" customFormat="1" x14ac:dyDescent="0.35">
      <c r="B207" s="853"/>
      <c r="D207" s="916"/>
    </row>
    <row r="208" spans="1:4" x14ac:dyDescent="0.35">
      <c r="A208" s="642" t="s">
        <v>744</v>
      </c>
      <c r="B208" s="854">
        <v>44804</v>
      </c>
      <c r="C208" s="642" t="s">
        <v>713</v>
      </c>
      <c r="D208" s="1013">
        <v>2136.5</v>
      </c>
    </row>
    <row r="209" spans="1:4" x14ac:dyDescent="0.35">
      <c r="A209" s="642" t="s">
        <v>744</v>
      </c>
      <c r="B209" s="854">
        <v>44804</v>
      </c>
      <c r="C209" s="642" t="s">
        <v>709</v>
      </c>
      <c r="D209" s="1013">
        <v>233836.02</v>
      </c>
    </row>
    <row r="210" spans="1:4" x14ac:dyDescent="0.35">
      <c r="A210" s="642" t="s">
        <v>744</v>
      </c>
      <c r="B210" s="854">
        <v>44804</v>
      </c>
      <c r="C210" s="642" t="s">
        <v>714</v>
      </c>
      <c r="D210" s="1013">
        <v>64262</v>
      </c>
    </row>
    <row r="211" spans="1:4" x14ac:dyDescent="0.35">
      <c r="A211" s="642" t="s">
        <v>744</v>
      </c>
      <c r="B211" s="854">
        <v>44804</v>
      </c>
      <c r="C211" s="642" t="s">
        <v>707</v>
      </c>
      <c r="D211" s="1013">
        <v>29799</v>
      </c>
    </row>
    <row r="212" spans="1:4" x14ac:dyDescent="0.35">
      <c r="A212" s="642" t="s">
        <v>744</v>
      </c>
      <c r="B212" s="854">
        <v>44804</v>
      </c>
      <c r="C212" s="642" t="s">
        <v>712</v>
      </c>
      <c r="D212" s="1013">
        <v>572.5</v>
      </c>
    </row>
    <row r="213" spans="1:4" s="894" customFormat="1" x14ac:dyDescent="0.35">
      <c r="A213" s="642"/>
      <c r="B213" s="854"/>
      <c r="C213" s="642"/>
      <c r="D213" s="1013">
        <f>SUM(D208:D212)</f>
        <v>330606.02</v>
      </c>
    </row>
    <row r="214" spans="1:4" s="894" customFormat="1" x14ac:dyDescent="0.35">
      <c r="B214" s="853"/>
      <c r="D214" s="916"/>
    </row>
    <row r="215" spans="1:4" x14ac:dyDescent="0.35">
      <c r="A215" s="642" t="s">
        <v>745</v>
      </c>
      <c r="B215" s="854">
        <v>44804</v>
      </c>
      <c r="C215" s="642" t="s">
        <v>714</v>
      </c>
      <c r="D215" s="1013">
        <v>145741.1</v>
      </c>
    </row>
    <row r="216" spans="1:4" x14ac:dyDescent="0.35">
      <c r="A216" s="642" t="s">
        <v>745</v>
      </c>
      <c r="B216" s="854">
        <v>44804</v>
      </c>
      <c r="C216" s="642" t="s">
        <v>707</v>
      </c>
      <c r="D216" s="1013">
        <v>284918</v>
      </c>
    </row>
    <row r="217" spans="1:4" x14ac:dyDescent="0.35">
      <c r="A217" s="642" t="s">
        <v>745</v>
      </c>
      <c r="B217" s="854">
        <v>44804</v>
      </c>
      <c r="C217" s="642" t="s">
        <v>712</v>
      </c>
      <c r="D217" s="1013">
        <v>549.9</v>
      </c>
    </row>
    <row r="218" spans="1:4" x14ac:dyDescent="0.35">
      <c r="A218" s="642" t="s">
        <v>745</v>
      </c>
      <c r="B218" s="854">
        <v>44804</v>
      </c>
      <c r="C218" s="642" t="s">
        <v>709</v>
      </c>
      <c r="D218" s="1013">
        <v>33419.550000000003</v>
      </c>
    </row>
    <row r="219" spans="1:4" x14ac:dyDescent="0.35">
      <c r="A219" s="642" t="s">
        <v>745</v>
      </c>
      <c r="B219" s="854">
        <v>44804</v>
      </c>
      <c r="C219" s="642" t="s">
        <v>713</v>
      </c>
      <c r="D219" s="1013">
        <v>4197</v>
      </c>
    </row>
    <row r="220" spans="1:4" s="894" customFormat="1" x14ac:dyDescent="0.35">
      <c r="A220" s="642"/>
      <c r="B220" s="854"/>
      <c r="C220" s="642"/>
      <c r="D220" s="1013">
        <f>SUM(D215:D219)</f>
        <v>468825.55</v>
      </c>
    </row>
    <row r="221" spans="1:4" s="894" customFormat="1" x14ac:dyDescent="0.35">
      <c r="B221" s="853"/>
      <c r="D221" s="916"/>
    </row>
    <row r="222" spans="1:4" x14ac:dyDescent="0.35">
      <c r="A222" s="642" t="s">
        <v>746</v>
      </c>
      <c r="B222" s="854">
        <v>44804</v>
      </c>
      <c r="C222" s="642" t="s">
        <v>707</v>
      </c>
      <c r="D222" s="1013">
        <v>44415</v>
      </c>
    </row>
    <row r="223" spans="1:4" x14ac:dyDescent="0.35">
      <c r="A223" s="642" t="s">
        <v>746</v>
      </c>
      <c r="B223" s="854">
        <v>44804</v>
      </c>
      <c r="C223" s="642" t="s">
        <v>714</v>
      </c>
      <c r="D223" s="1013">
        <v>9277.9</v>
      </c>
    </row>
    <row r="224" spans="1:4" x14ac:dyDescent="0.35">
      <c r="A224" s="642" t="s">
        <v>746</v>
      </c>
      <c r="B224" s="854">
        <v>44804</v>
      </c>
      <c r="C224" s="642" t="s">
        <v>709</v>
      </c>
      <c r="D224" s="1013">
        <v>13344.67</v>
      </c>
    </row>
    <row r="225" spans="1:4" s="894" customFormat="1" x14ac:dyDescent="0.35">
      <c r="A225" s="642"/>
      <c r="B225" s="854"/>
      <c r="C225" s="642"/>
      <c r="D225" s="1013">
        <f>SUM(D222:D224)</f>
        <v>67037.570000000007</v>
      </c>
    </row>
    <row r="226" spans="1:4" s="894" customFormat="1" x14ac:dyDescent="0.35">
      <c r="B226" s="853"/>
      <c r="D226" s="916"/>
    </row>
    <row r="227" spans="1:4" x14ac:dyDescent="0.35">
      <c r="A227" s="642" t="s">
        <v>748</v>
      </c>
      <c r="B227" s="854">
        <v>44804</v>
      </c>
      <c r="C227" s="642" t="s">
        <v>710</v>
      </c>
      <c r="D227" s="1013">
        <v>48995.26</v>
      </c>
    </row>
    <row r="228" spans="1:4" x14ac:dyDescent="0.35">
      <c r="A228" s="642" t="s">
        <v>748</v>
      </c>
      <c r="B228" s="854">
        <v>44804</v>
      </c>
      <c r="C228" s="642" t="s">
        <v>709</v>
      </c>
      <c r="D228" s="1013">
        <v>37608.300000000003</v>
      </c>
    </row>
    <row r="229" spans="1:4" s="894" customFormat="1" x14ac:dyDescent="0.35">
      <c r="A229" s="642"/>
      <c r="B229" s="854"/>
      <c r="C229" s="642"/>
      <c r="D229" s="1013">
        <f>SUM(D227:D228)</f>
        <v>86603.56</v>
      </c>
    </row>
    <row r="230" spans="1:4" s="894" customFormat="1" x14ac:dyDescent="0.35">
      <c r="B230" s="853"/>
      <c r="D230" s="916"/>
    </row>
    <row r="231" spans="1:4" x14ac:dyDescent="0.35">
      <c r="A231" s="642" t="s">
        <v>749</v>
      </c>
      <c r="B231" s="854">
        <v>44804</v>
      </c>
      <c r="C231" s="642" t="s">
        <v>710</v>
      </c>
      <c r="D231" s="1013">
        <v>5777.33</v>
      </c>
    </row>
    <row r="232" spans="1:4" x14ac:dyDescent="0.35">
      <c r="A232" s="642" t="s">
        <v>749</v>
      </c>
      <c r="B232" s="854">
        <v>44804</v>
      </c>
      <c r="C232" s="642" t="s">
        <v>714</v>
      </c>
      <c r="D232" s="1013">
        <v>8313.7000000000007</v>
      </c>
    </row>
    <row r="233" spans="1:4" x14ac:dyDescent="0.35">
      <c r="A233" s="642" t="s">
        <v>749</v>
      </c>
      <c r="B233" s="854">
        <v>44804</v>
      </c>
      <c r="C233" s="642" t="s">
        <v>707</v>
      </c>
      <c r="D233" s="1013">
        <v>20316</v>
      </c>
    </row>
    <row r="234" spans="1:4" x14ac:dyDescent="0.35">
      <c r="A234" s="642" t="s">
        <v>749</v>
      </c>
      <c r="B234" s="854">
        <v>44804</v>
      </c>
      <c r="C234" s="642" t="s">
        <v>713</v>
      </c>
      <c r="D234" s="1013">
        <v>660</v>
      </c>
    </row>
    <row r="235" spans="1:4" x14ac:dyDescent="0.35">
      <c r="A235" s="642" t="s">
        <v>749</v>
      </c>
      <c r="B235" s="854">
        <v>44804</v>
      </c>
      <c r="C235" s="642" t="s">
        <v>709</v>
      </c>
      <c r="D235" s="1013">
        <v>60678.99</v>
      </c>
    </row>
    <row r="236" spans="1:4" s="894" customFormat="1" x14ac:dyDescent="0.35">
      <c r="A236" s="642"/>
      <c r="B236" s="854"/>
      <c r="C236" s="642"/>
      <c r="D236" s="1013">
        <f>SUM(D231:D235)</f>
        <v>95746.01999999999</v>
      </c>
    </row>
    <row r="237" spans="1:4" s="894" customFormat="1" x14ac:dyDescent="0.35">
      <c r="B237" s="853"/>
      <c r="D237" s="916"/>
    </row>
    <row r="238" spans="1:4" x14ac:dyDescent="0.35">
      <c r="A238" s="642" t="s">
        <v>750</v>
      </c>
      <c r="B238" s="854">
        <v>44804</v>
      </c>
      <c r="C238" s="642" t="s">
        <v>707</v>
      </c>
      <c r="D238" s="1013">
        <v>583294</v>
      </c>
    </row>
    <row r="239" spans="1:4" x14ac:dyDescent="0.35">
      <c r="A239" s="642" t="s">
        <v>750</v>
      </c>
      <c r="B239" s="854">
        <v>44804</v>
      </c>
      <c r="C239" s="642" t="s">
        <v>714</v>
      </c>
      <c r="D239" s="1013">
        <v>354324.4</v>
      </c>
    </row>
    <row r="240" spans="1:4" x14ac:dyDescent="0.35">
      <c r="A240" s="642" t="s">
        <v>750</v>
      </c>
      <c r="B240" s="854">
        <v>44804</v>
      </c>
      <c r="C240" s="642" t="s">
        <v>713</v>
      </c>
      <c r="D240" s="1013">
        <v>3311.5</v>
      </c>
    </row>
    <row r="241" spans="1:4" x14ac:dyDescent="0.35">
      <c r="A241" s="642" t="s">
        <v>750</v>
      </c>
      <c r="B241" s="854">
        <v>44804</v>
      </c>
      <c r="C241" s="642" t="s">
        <v>712</v>
      </c>
      <c r="D241" s="1013">
        <v>1655</v>
      </c>
    </row>
    <row r="242" spans="1:4" x14ac:dyDescent="0.35">
      <c r="A242" s="642" t="s">
        <v>750</v>
      </c>
      <c r="B242" s="854">
        <v>44804</v>
      </c>
      <c r="C242" s="642" t="s">
        <v>709</v>
      </c>
      <c r="D242" s="1013">
        <v>200036.94</v>
      </c>
    </row>
    <row r="243" spans="1:4" s="894" customFormat="1" x14ac:dyDescent="0.35">
      <c r="A243" s="642"/>
      <c r="B243" s="854"/>
      <c r="C243" s="642"/>
      <c r="D243" s="1013">
        <f>SUM(D237:D242)</f>
        <v>1142621.8400000001</v>
      </c>
    </row>
    <row r="244" spans="1:4" s="894" customFormat="1" x14ac:dyDescent="0.35">
      <c r="B244" s="853"/>
      <c r="D244" s="916"/>
    </row>
    <row r="245" spans="1:4" x14ac:dyDescent="0.35">
      <c r="A245" s="642" t="s">
        <v>751</v>
      </c>
      <c r="B245" s="854">
        <v>44804</v>
      </c>
      <c r="C245" s="642" t="s">
        <v>714</v>
      </c>
      <c r="D245" s="1013">
        <v>316771.5</v>
      </c>
    </row>
    <row r="246" spans="1:4" x14ac:dyDescent="0.35">
      <c r="A246" s="642" t="s">
        <v>751</v>
      </c>
      <c r="B246" s="854">
        <v>44804</v>
      </c>
      <c r="C246" s="642" t="s">
        <v>707</v>
      </c>
      <c r="D246" s="1013">
        <v>857066</v>
      </c>
    </row>
    <row r="247" spans="1:4" x14ac:dyDescent="0.35">
      <c r="A247" s="642" t="s">
        <v>751</v>
      </c>
      <c r="B247" s="854">
        <v>44804</v>
      </c>
      <c r="C247" s="642" t="s">
        <v>713</v>
      </c>
      <c r="D247" s="1013">
        <v>8923</v>
      </c>
    </row>
    <row r="248" spans="1:4" x14ac:dyDescent="0.35">
      <c r="A248" s="642" t="s">
        <v>751</v>
      </c>
      <c r="B248" s="854">
        <v>44804</v>
      </c>
      <c r="C248" s="642" t="s">
        <v>709</v>
      </c>
      <c r="D248" s="1013">
        <v>14767.52</v>
      </c>
    </row>
    <row r="249" spans="1:4" s="894" customFormat="1" x14ac:dyDescent="0.35">
      <c r="A249" s="642"/>
      <c r="B249" s="854"/>
      <c r="C249" s="642"/>
      <c r="D249" s="1013">
        <f>SUM(D245:D248)</f>
        <v>1197528.02</v>
      </c>
    </row>
    <row r="250" spans="1:4" s="894" customFormat="1" x14ac:dyDescent="0.35">
      <c r="B250" s="853"/>
      <c r="D250" s="916"/>
    </row>
    <row r="251" spans="1:4" x14ac:dyDescent="0.35">
      <c r="A251" s="642" t="s">
        <v>752</v>
      </c>
      <c r="B251" s="854">
        <v>44804</v>
      </c>
      <c r="C251" s="642" t="s">
        <v>709</v>
      </c>
      <c r="D251" s="1013">
        <v>21632.18</v>
      </c>
    </row>
    <row r="252" spans="1:4" x14ac:dyDescent="0.35">
      <c r="A252" s="642" t="s">
        <v>752</v>
      </c>
      <c r="B252" s="854">
        <v>44804</v>
      </c>
      <c r="C252" s="642" t="s">
        <v>714</v>
      </c>
      <c r="D252" s="1013">
        <v>7707.9</v>
      </c>
    </row>
    <row r="253" spans="1:4" s="894" customFormat="1" x14ac:dyDescent="0.35">
      <c r="A253" s="642"/>
      <c r="B253" s="854"/>
      <c r="C253" s="642"/>
      <c r="D253" s="1013">
        <f>SUM(D251:D252)</f>
        <v>29340.080000000002</v>
      </c>
    </row>
    <row r="254" spans="1:4" s="894" customFormat="1" x14ac:dyDescent="0.35">
      <c r="B254" s="853"/>
      <c r="D254" s="916"/>
    </row>
    <row r="255" spans="1:4" x14ac:dyDescent="0.35">
      <c r="A255" s="642" t="s">
        <v>753</v>
      </c>
      <c r="B255" s="854">
        <v>44804</v>
      </c>
      <c r="C255" s="642" t="s">
        <v>707</v>
      </c>
      <c r="D255" s="1013">
        <v>210769</v>
      </c>
    </row>
    <row r="256" spans="1:4" x14ac:dyDescent="0.35">
      <c r="A256" s="642" t="s">
        <v>753</v>
      </c>
      <c r="B256" s="854">
        <v>44804</v>
      </c>
      <c r="C256" s="642" t="s">
        <v>714</v>
      </c>
      <c r="D256" s="1013">
        <v>87510.3</v>
      </c>
    </row>
    <row r="257" spans="1:4" x14ac:dyDescent="0.35">
      <c r="A257" s="642" t="s">
        <v>753</v>
      </c>
      <c r="B257" s="854">
        <v>44804</v>
      </c>
      <c r="C257" s="642" t="s">
        <v>713</v>
      </c>
      <c r="D257" s="1013">
        <v>2986.4</v>
      </c>
    </row>
    <row r="258" spans="1:4" s="894" customFormat="1" x14ac:dyDescent="0.35">
      <c r="A258" s="642"/>
      <c r="B258" s="854"/>
      <c r="C258" s="642"/>
      <c r="D258" s="1013">
        <f>SUM(D255:D257)</f>
        <v>301265.7</v>
      </c>
    </row>
    <row r="259" spans="1:4" s="894" customFormat="1" x14ac:dyDescent="0.35">
      <c r="B259" s="853"/>
      <c r="D259" s="916"/>
    </row>
    <row r="260" spans="1:4" x14ac:dyDescent="0.35">
      <c r="A260" s="642" t="s">
        <v>754</v>
      </c>
      <c r="B260" s="854">
        <v>44804</v>
      </c>
      <c r="C260" s="642" t="s">
        <v>707</v>
      </c>
      <c r="D260" s="1013">
        <v>3074735</v>
      </c>
    </row>
    <row r="261" spans="1:4" x14ac:dyDescent="0.35">
      <c r="A261" s="642" t="s">
        <v>754</v>
      </c>
      <c r="B261" s="854">
        <v>44804</v>
      </c>
      <c r="C261" s="642" t="s">
        <v>718</v>
      </c>
      <c r="D261" s="1013">
        <v>-128163</v>
      </c>
    </row>
    <row r="262" spans="1:4" x14ac:dyDescent="0.35">
      <c r="A262" s="642" t="s">
        <v>754</v>
      </c>
      <c r="B262" s="854">
        <v>44804</v>
      </c>
      <c r="C262" s="642" t="s">
        <v>713</v>
      </c>
      <c r="D262" s="1013">
        <v>15293</v>
      </c>
    </row>
    <row r="263" spans="1:4" x14ac:dyDescent="0.35">
      <c r="A263" s="642" t="s">
        <v>754</v>
      </c>
      <c r="B263" s="854">
        <v>44804</v>
      </c>
      <c r="C263" s="642" t="s">
        <v>719</v>
      </c>
      <c r="D263" s="1013">
        <v>65336.480000000003</v>
      </c>
    </row>
    <row r="264" spans="1:4" x14ac:dyDescent="0.35">
      <c r="A264" s="642" t="s">
        <v>754</v>
      </c>
      <c r="B264" s="854">
        <v>44804</v>
      </c>
      <c r="C264" s="642" t="s">
        <v>709</v>
      </c>
      <c r="D264" s="1013">
        <v>2844857.53</v>
      </c>
    </row>
    <row r="265" spans="1:4" x14ac:dyDescent="0.35">
      <c r="A265" s="642" t="s">
        <v>754</v>
      </c>
      <c r="B265" s="854">
        <v>44804</v>
      </c>
      <c r="C265" s="642" t="s">
        <v>710</v>
      </c>
      <c r="D265" s="1013">
        <v>65714.66</v>
      </c>
    </row>
    <row r="266" spans="1:4" x14ac:dyDescent="0.35">
      <c r="A266" s="642" t="s">
        <v>754</v>
      </c>
      <c r="B266" s="854">
        <v>44804</v>
      </c>
      <c r="C266" s="642" t="s">
        <v>712</v>
      </c>
      <c r="D266" s="1013">
        <v>3641.5</v>
      </c>
    </row>
    <row r="267" spans="1:4" x14ac:dyDescent="0.35">
      <c r="A267" s="642" t="s">
        <v>754</v>
      </c>
      <c r="B267" s="854">
        <v>44804</v>
      </c>
      <c r="C267" s="642" t="s">
        <v>714</v>
      </c>
      <c r="D267" s="1013">
        <v>977590.9</v>
      </c>
    </row>
    <row r="268" spans="1:4" s="894" customFormat="1" x14ac:dyDescent="0.35">
      <c r="A268" s="642"/>
      <c r="B268" s="854"/>
      <c r="C268" s="642"/>
      <c r="D268" s="1013">
        <f>SUM(D260:D267)</f>
        <v>6919006.0700000003</v>
      </c>
    </row>
    <row r="269" spans="1:4" s="894" customFormat="1" x14ac:dyDescent="0.35">
      <c r="B269" s="853"/>
      <c r="D269" s="916"/>
    </row>
    <row r="270" spans="1:4" x14ac:dyDescent="0.35">
      <c r="A270" s="642" t="s">
        <v>755</v>
      </c>
      <c r="B270" s="854">
        <v>44804</v>
      </c>
      <c r="C270" s="642" t="s">
        <v>707</v>
      </c>
      <c r="D270" s="1013">
        <v>2142946</v>
      </c>
    </row>
    <row r="271" spans="1:4" x14ac:dyDescent="0.35">
      <c r="A271" s="642" t="s">
        <v>755</v>
      </c>
      <c r="B271" s="854">
        <v>44804</v>
      </c>
      <c r="C271" s="642" t="s">
        <v>712</v>
      </c>
      <c r="D271" s="1013">
        <v>991.8</v>
      </c>
    </row>
    <row r="272" spans="1:4" x14ac:dyDescent="0.35">
      <c r="A272" s="642" t="s">
        <v>755</v>
      </c>
      <c r="B272" s="854">
        <v>44804</v>
      </c>
      <c r="C272" s="642" t="s">
        <v>709</v>
      </c>
      <c r="D272" s="1013">
        <v>29927.78</v>
      </c>
    </row>
    <row r="273" spans="1:4" x14ac:dyDescent="0.35">
      <c r="A273" s="642" t="s">
        <v>755</v>
      </c>
      <c r="B273" s="854">
        <v>44804</v>
      </c>
      <c r="C273" s="642" t="s">
        <v>713</v>
      </c>
      <c r="D273" s="1013">
        <v>23807.5</v>
      </c>
    </row>
    <row r="274" spans="1:4" x14ac:dyDescent="0.35">
      <c r="A274" s="642" t="s">
        <v>755</v>
      </c>
      <c r="B274" s="854">
        <v>44804</v>
      </c>
      <c r="C274" s="642" t="s">
        <v>714</v>
      </c>
      <c r="D274" s="1013">
        <v>648174.1</v>
      </c>
    </row>
    <row r="275" spans="1:4" s="894" customFormat="1" x14ac:dyDescent="0.35">
      <c r="A275" s="642"/>
      <c r="B275" s="854"/>
      <c r="C275" s="642"/>
      <c r="D275" s="1013">
        <f>SUM(D270:D274)</f>
        <v>2845847.1799999997</v>
      </c>
    </row>
    <row r="276" spans="1:4" s="894" customFormat="1" x14ac:dyDescent="0.35">
      <c r="B276" s="853"/>
      <c r="D276" s="916"/>
    </row>
    <row r="277" spans="1:4" x14ac:dyDescent="0.35">
      <c r="A277" s="642" t="s">
        <v>504</v>
      </c>
      <c r="B277" s="854">
        <v>44804</v>
      </c>
      <c r="C277" s="642" t="s">
        <v>714</v>
      </c>
      <c r="D277" s="1013">
        <v>14516.9</v>
      </c>
    </row>
    <row r="278" spans="1:4" x14ac:dyDescent="0.35">
      <c r="A278" s="642" t="s">
        <v>504</v>
      </c>
      <c r="B278" s="854">
        <v>44804</v>
      </c>
      <c r="C278" s="642" t="s">
        <v>709</v>
      </c>
      <c r="D278" s="1013">
        <v>26012.43</v>
      </c>
    </row>
    <row r="279" spans="1:4" s="894" customFormat="1" x14ac:dyDescent="0.35">
      <c r="A279" s="642"/>
      <c r="B279" s="854"/>
      <c r="C279" s="642"/>
      <c r="D279" s="1013">
        <f>SUM(D277:D278)</f>
        <v>40529.33</v>
      </c>
    </row>
    <row r="280" spans="1:4" s="894" customFormat="1" x14ac:dyDescent="0.35">
      <c r="B280" s="853"/>
      <c r="D280" s="916"/>
    </row>
    <row r="281" spans="1:4" x14ac:dyDescent="0.35">
      <c r="A281" s="642" t="s">
        <v>757</v>
      </c>
      <c r="B281" s="854">
        <v>44804</v>
      </c>
      <c r="C281" s="642" t="s">
        <v>709</v>
      </c>
      <c r="D281" s="1013">
        <v>884.67</v>
      </c>
    </row>
    <row r="282" spans="1:4" x14ac:dyDescent="0.35">
      <c r="A282" s="642" t="s">
        <v>757</v>
      </c>
      <c r="B282" s="854">
        <v>44804</v>
      </c>
      <c r="C282" s="642" t="s">
        <v>719</v>
      </c>
      <c r="D282" s="1013">
        <v>7687.29</v>
      </c>
    </row>
    <row r="283" spans="1:4" x14ac:dyDescent="0.35">
      <c r="A283" s="642" t="s">
        <v>757</v>
      </c>
      <c r="B283" s="854">
        <v>44804</v>
      </c>
      <c r="C283" s="642" t="s">
        <v>713</v>
      </c>
      <c r="D283" s="1013">
        <v>662</v>
      </c>
    </row>
    <row r="284" spans="1:4" x14ac:dyDescent="0.35">
      <c r="A284" s="642" t="s">
        <v>757</v>
      </c>
      <c r="B284" s="854">
        <v>44804</v>
      </c>
      <c r="C284" s="642" t="s">
        <v>707</v>
      </c>
      <c r="D284" s="1013">
        <v>98150</v>
      </c>
    </row>
    <row r="285" spans="1:4" x14ac:dyDescent="0.35">
      <c r="A285" s="642" t="s">
        <v>757</v>
      </c>
      <c r="B285" s="854">
        <v>44804</v>
      </c>
      <c r="C285" s="642" t="s">
        <v>714</v>
      </c>
      <c r="D285" s="1013">
        <v>14916.8</v>
      </c>
    </row>
    <row r="286" spans="1:4" ht="15" customHeight="1" x14ac:dyDescent="0.35">
      <c r="A286" s="642" t="s">
        <v>757</v>
      </c>
      <c r="B286" s="854">
        <v>44804</v>
      </c>
      <c r="C286" s="642" t="s">
        <v>718</v>
      </c>
      <c r="D286" s="1013">
        <v>-14695</v>
      </c>
    </row>
    <row r="287" spans="1:4" s="894" customFormat="1" ht="15" customHeight="1" x14ac:dyDescent="0.35">
      <c r="A287" s="642"/>
      <c r="B287" s="854"/>
      <c r="C287" s="642"/>
      <c r="D287" s="1013">
        <f>SUM(D281:D286)</f>
        <v>107605.75999999999</v>
      </c>
    </row>
    <row r="288" spans="1:4" s="894" customFormat="1" ht="15" customHeight="1" x14ac:dyDescent="0.35">
      <c r="B288" s="853"/>
      <c r="D288" s="916"/>
    </row>
    <row r="289" spans="1:4" x14ac:dyDescent="0.35">
      <c r="A289" s="642" t="s">
        <v>758</v>
      </c>
      <c r="B289" s="854">
        <v>44804</v>
      </c>
      <c r="C289" s="642" t="s">
        <v>710</v>
      </c>
      <c r="D289" s="1013">
        <v>999.6</v>
      </c>
    </row>
    <row r="290" spans="1:4" x14ac:dyDescent="0.35">
      <c r="A290" s="642" t="s">
        <v>758</v>
      </c>
      <c r="B290" s="854">
        <v>44804</v>
      </c>
      <c r="C290" s="642" t="s">
        <v>709</v>
      </c>
      <c r="D290" s="1013">
        <v>61848.74</v>
      </c>
    </row>
    <row r="291" spans="1:4" s="894" customFormat="1" x14ac:dyDescent="0.35">
      <c r="A291" s="642"/>
      <c r="B291" s="854"/>
      <c r="C291" s="642"/>
      <c r="D291" s="1013">
        <f>SUM(D289:D290)</f>
        <v>62848.34</v>
      </c>
    </row>
    <row r="292" spans="1:4" s="894" customFormat="1" x14ac:dyDescent="0.35">
      <c r="B292" s="853"/>
      <c r="D292" s="916"/>
    </row>
    <row r="293" spans="1:4" x14ac:dyDescent="0.35">
      <c r="A293" s="642" t="s">
        <v>759</v>
      </c>
      <c r="B293" s="854">
        <v>44804</v>
      </c>
      <c r="C293" s="642" t="s">
        <v>714</v>
      </c>
      <c r="D293" s="1013">
        <v>1946332.8</v>
      </c>
    </row>
    <row r="294" spans="1:4" x14ac:dyDescent="0.35">
      <c r="A294" s="642" t="s">
        <v>759</v>
      </c>
      <c r="B294" s="854">
        <v>44804</v>
      </c>
      <c r="C294" s="642" t="s">
        <v>713</v>
      </c>
      <c r="D294" s="1013">
        <v>47889.4</v>
      </c>
    </row>
    <row r="295" spans="1:4" x14ac:dyDescent="0.35">
      <c r="A295" s="642" t="s">
        <v>759</v>
      </c>
      <c r="B295" s="854">
        <v>44804</v>
      </c>
      <c r="C295" s="642" t="s">
        <v>709</v>
      </c>
      <c r="D295" s="1013">
        <v>336028.08</v>
      </c>
    </row>
    <row r="296" spans="1:4" x14ac:dyDescent="0.35">
      <c r="A296" s="642" t="s">
        <v>759</v>
      </c>
      <c r="B296" s="854">
        <v>44804</v>
      </c>
      <c r="C296" s="642" t="s">
        <v>712</v>
      </c>
      <c r="D296" s="1013">
        <v>6086.6</v>
      </c>
    </row>
    <row r="297" spans="1:4" x14ac:dyDescent="0.35">
      <c r="A297" s="642" t="s">
        <v>759</v>
      </c>
      <c r="B297" s="854">
        <v>44804</v>
      </c>
      <c r="C297" s="642" t="s">
        <v>719</v>
      </c>
      <c r="D297" s="1013">
        <v>74408.149999999994</v>
      </c>
    </row>
    <row r="298" spans="1:4" x14ac:dyDescent="0.35">
      <c r="A298" s="642" t="s">
        <v>759</v>
      </c>
      <c r="B298" s="854">
        <v>44804</v>
      </c>
      <c r="C298" s="642" t="s">
        <v>707</v>
      </c>
      <c r="D298" s="1013">
        <v>4296501</v>
      </c>
    </row>
    <row r="299" spans="1:4" s="894" customFormat="1" x14ac:dyDescent="0.35">
      <c r="A299" s="642"/>
      <c r="B299" s="854"/>
      <c r="C299" s="642"/>
      <c r="D299" s="1013">
        <f>SUM(D293:D298)</f>
        <v>6707246.0299999993</v>
      </c>
    </row>
    <row r="300" spans="1:4" s="894" customFormat="1" x14ac:dyDescent="0.35">
      <c r="B300" s="853"/>
      <c r="D300" s="916"/>
    </row>
    <row r="301" spans="1:4" x14ac:dyDescent="0.35">
      <c r="A301" s="642" t="s">
        <v>761</v>
      </c>
      <c r="B301" s="854">
        <v>44804</v>
      </c>
      <c r="C301" s="642" t="s">
        <v>707</v>
      </c>
      <c r="D301" s="1013">
        <v>8749</v>
      </c>
    </row>
    <row r="302" spans="1:4" s="894" customFormat="1" x14ac:dyDescent="0.35">
      <c r="A302" s="642"/>
      <c r="B302" s="854"/>
      <c r="C302" s="642"/>
      <c r="D302" s="1013">
        <f>SUM(D301)</f>
        <v>8749</v>
      </c>
    </row>
    <row r="303" spans="1:4" s="894" customFormat="1" x14ac:dyDescent="0.35">
      <c r="B303" s="853"/>
      <c r="D303" s="916"/>
    </row>
    <row r="304" spans="1:4" x14ac:dyDescent="0.35">
      <c r="A304" s="642" t="s">
        <v>762</v>
      </c>
      <c r="B304" s="854">
        <v>44804</v>
      </c>
      <c r="C304" s="642" t="s">
        <v>707</v>
      </c>
      <c r="D304" s="1013">
        <v>7752</v>
      </c>
    </row>
    <row r="305" spans="1:4" s="894" customFormat="1" x14ac:dyDescent="0.35">
      <c r="A305" s="642"/>
      <c r="B305" s="854"/>
      <c r="C305" s="642"/>
      <c r="D305" s="1013">
        <f>SUM(D303:D304)</f>
        <v>7752</v>
      </c>
    </row>
    <row r="306" spans="1:4" s="894" customFormat="1" x14ac:dyDescent="0.35">
      <c r="B306" s="853"/>
      <c r="D306" s="916"/>
    </row>
    <row r="307" spans="1:4" x14ac:dyDescent="0.35">
      <c r="A307" s="642" t="s">
        <v>763</v>
      </c>
      <c r="B307" s="854">
        <v>44804</v>
      </c>
      <c r="C307" s="642" t="s">
        <v>714</v>
      </c>
      <c r="D307" s="1013">
        <v>29295.3</v>
      </c>
    </row>
    <row r="308" spans="1:4" x14ac:dyDescent="0.35">
      <c r="A308" s="642" t="s">
        <v>763</v>
      </c>
      <c r="B308" s="854">
        <v>44804</v>
      </c>
      <c r="C308" s="642" t="s">
        <v>724</v>
      </c>
      <c r="D308" s="1013">
        <v>0</v>
      </c>
    </row>
    <row r="309" spans="1:4" x14ac:dyDescent="0.35">
      <c r="A309" s="642" t="s">
        <v>763</v>
      </c>
      <c r="B309" s="854">
        <v>44804</v>
      </c>
      <c r="C309" s="642" t="s">
        <v>713</v>
      </c>
      <c r="D309" s="1013">
        <v>873</v>
      </c>
    </row>
    <row r="310" spans="1:4" x14ac:dyDescent="0.35">
      <c r="A310" s="642" t="s">
        <v>763</v>
      </c>
      <c r="B310" s="854">
        <v>44804</v>
      </c>
      <c r="C310" s="642" t="s">
        <v>719</v>
      </c>
      <c r="D310" s="1013">
        <v>521.14</v>
      </c>
    </row>
    <row r="311" spans="1:4" x14ac:dyDescent="0.35">
      <c r="A311" s="642" t="s">
        <v>763</v>
      </c>
      <c r="B311" s="854">
        <v>44804</v>
      </c>
      <c r="C311" s="642" t="s">
        <v>707</v>
      </c>
      <c r="D311" s="1013">
        <v>159979</v>
      </c>
    </row>
    <row r="312" spans="1:4" s="894" customFormat="1" x14ac:dyDescent="0.35">
      <c r="A312" s="642"/>
      <c r="B312" s="854"/>
      <c r="C312" s="642"/>
      <c r="D312" s="1013">
        <f>SUM(D307:D311)</f>
        <v>190668.44</v>
      </c>
    </row>
    <row r="313" spans="1:4" s="894" customFormat="1" x14ac:dyDescent="0.35">
      <c r="B313" s="853"/>
      <c r="D313" s="916"/>
    </row>
    <row r="314" spans="1:4" x14ac:dyDescent="0.35">
      <c r="A314" s="642" t="s">
        <v>764</v>
      </c>
      <c r="B314" s="854">
        <v>44804</v>
      </c>
      <c r="C314" s="642" t="s">
        <v>714</v>
      </c>
      <c r="D314" s="1013">
        <v>3824.2</v>
      </c>
    </row>
    <row r="315" spans="1:4" x14ac:dyDescent="0.35">
      <c r="A315" s="642" t="s">
        <v>764</v>
      </c>
      <c r="B315" s="854">
        <v>44804</v>
      </c>
      <c r="C315" s="642" t="s">
        <v>713</v>
      </c>
      <c r="D315" s="1013">
        <v>467</v>
      </c>
    </row>
    <row r="316" spans="1:4" x14ac:dyDescent="0.35">
      <c r="A316" s="642" t="s">
        <v>764</v>
      </c>
      <c r="B316" s="854">
        <v>44804</v>
      </c>
      <c r="C316" s="642" t="s">
        <v>707</v>
      </c>
      <c r="D316" s="1013">
        <v>7947</v>
      </c>
    </row>
    <row r="317" spans="1:4" s="894" customFormat="1" x14ac:dyDescent="0.35">
      <c r="A317" s="642"/>
      <c r="B317" s="854"/>
      <c r="C317" s="642"/>
      <c r="D317" s="1013">
        <f>SUM(D314:D316)</f>
        <v>12238.2</v>
      </c>
    </row>
    <row r="318" spans="1:4" s="894" customFormat="1" x14ac:dyDescent="0.35">
      <c r="B318" s="853"/>
      <c r="D318" s="916"/>
    </row>
    <row r="319" spans="1:4" x14ac:dyDescent="0.35">
      <c r="A319" s="642" t="s">
        <v>765</v>
      </c>
      <c r="B319" s="854">
        <v>44804</v>
      </c>
      <c r="C319" s="642" t="s">
        <v>707</v>
      </c>
      <c r="D319" s="1013">
        <v>445080</v>
      </c>
    </row>
    <row r="320" spans="1:4" x14ac:dyDescent="0.35">
      <c r="A320" s="642" t="s">
        <v>765</v>
      </c>
      <c r="B320" s="854">
        <v>44804</v>
      </c>
      <c r="C320" s="642" t="s">
        <v>719</v>
      </c>
      <c r="D320" s="1013">
        <v>6145.25</v>
      </c>
    </row>
    <row r="321" spans="1:4" x14ac:dyDescent="0.35">
      <c r="A321" s="642" t="s">
        <v>765</v>
      </c>
      <c r="B321" s="854">
        <v>44804</v>
      </c>
      <c r="C321" s="642" t="s">
        <v>713</v>
      </c>
      <c r="D321" s="1013">
        <v>18165.900000000001</v>
      </c>
    </row>
    <row r="322" spans="1:4" x14ac:dyDescent="0.35">
      <c r="A322" s="642" t="s">
        <v>765</v>
      </c>
      <c r="B322" s="854">
        <v>44804</v>
      </c>
      <c r="C322" s="642" t="s">
        <v>709</v>
      </c>
      <c r="D322" s="1013">
        <v>15082.58</v>
      </c>
    </row>
    <row r="323" spans="1:4" x14ac:dyDescent="0.35">
      <c r="A323" s="642" t="s">
        <v>765</v>
      </c>
      <c r="B323" s="854">
        <v>44804</v>
      </c>
      <c r="C323" s="642" t="s">
        <v>714</v>
      </c>
      <c r="D323" s="1013">
        <v>297199</v>
      </c>
    </row>
    <row r="324" spans="1:4" x14ac:dyDescent="0.35">
      <c r="A324" s="642" t="s">
        <v>765</v>
      </c>
      <c r="B324" s="854">
        <v>44804</v>
      </c>
      <c r="C324" s="642" t="s">
        <v>712</v>
      </c>
      <c r="D324" s="1013">
        <v>1987.5</v>
      </c>
    </row>
    <row r="325" spans="1:4" s="894" customFormat="1" x14ac:dyDescent="0.35">
      <c r="A325" s="642"/>
      <c r="B325" s="854"/>
      <c r="C325" s="642"/>
      <c r="D325" s="1013">
        <f>SUM(D319:D324)</f>
        <v>783660.23</v>
      </c>
    </row>
    <row r="326" spans="1:4" s="894" customFormat="1" x14ac:dyDescent="0.35">
      <c r="B326" s="853"/>
      <c r="D326" s="916"/>
    </row>
    <row r="327" spans="1:4" x14ac:dyDescent="0.35">
      <c r="A327" s="642" t="s">
        <v>766</v>
      </c>
      <c r="B327" s="854">
        <v>44804</v>
      </c>
      <c r="C327" s="642" t="s">
        <v>712</v>
      </c>
      <c r="D327" s="1013">
        <v>440</v>
      </c>
    </row>
    <row r="328" spans="1:4" x14ac:dyDescent="0.35">
      <c r="A328" s="642" t="s">
        <v>766</v>
      </c>
      <c r="B328" s="854">
        <v>44804</v>
      </c>
      <c r="C328" s="642" t="s">
        <v>713</v>
      </c>
      <c r="D328" s="1013">
        <v>3689.5</v>
      </c>
    </row>
    <row r="329" spans="1:4" x14ac:dyDescent="0.35">
      <c r="A329" s="642" t="s">
        <v>766</v>
      </c>
      <c r="B329" s="854">
        <v>44804</v>
      </c>
      <c r="C329" s="642" t="s">
        <v>707</v>
      </c>
      <c r="D329" s="1013">
        <v>357766</v>
      </c>
    </row>
    <row r="330" spans="1:4" x14ac:dyDescent="0.35">
      <c r="A330" s="642" t="s">
        <v>766</v>
      </c>
      <c r="B330" s="854">
        <v>44804</v>
      </c>
      <c r="C330" s="642" t="s">
        <v>714</v>
      </c>
      <c r="D330" s="1013">
        <v>159397.29999999999</v>
      </c>
    </row>
    <row r="331" spans="1:4" s="894" customFormat="1" x14ac:dyDescent="0.35">
      <c r="A331" s="642"/>
      <c r="B331" s="854"/>
      <c r="C331" s="642"/>
      <c r="D331" s="1013">
        <f>SUM(D327:D330)</f>
        <v>521292.79999999999</v>
      </c>
    </row>
    <row r="332" spans="1:4" s="894" customFormat="1" x14ac:dyDescent="0.35">
      <c r="B332" s="853"/>
      <c r="D332" s="916"/>
    </row>
    <row r="333" spans="1:4" x14ac:dyDescent="0.35">
      <c r="A333" s="642" t="s">
        <v>767</v>
      </c>
      <c r="B333" s="854">
        <v>44804</v>
      </c>
      <c r="C333" s="642" t="s">
        <v>707</v>
      </c>
      <c r="D333" s="1013">
        <v>21858</v>
      </c>
    </row>
    <row r="334" spans="1:4" x14ac:dyDescent="0.35">
      <c r="A334" s="642" t="s">
        <v>767</v>
      </c>
      <c r="B334" s="854">
        <v>44804</v>
      </c>
      <c r="C334" s="642" t="s">
        <v>709</v>
      </c>
      <c r="D334" s="1013">
        <v>18615.490000000002</v>
      </c>
    </row>
    <row r="335" spans="1:4" s="894" customFormat="1" x14ac:dyDescent="0.35">
      <c r="A335" s="642"/>
      <c r="B335" s="854"/>
      <c r="C335" s="642"/>
      <c r="D335" s="1013">
        <f>SUM(D333:D334)</f>
        <v>40473.490000000005</v>
      </c>
    </row>
    <row r="336" spans="1:4" s="894" customFormat="1" x14ac:dyDescent="0.35">
      <c r="B336" s="853"/>
      <c r="D336" s="916"/>
    </row>
    <row r="337" spans="1:4" x14ac:dyDescent="0.35">
      <c r="A337" s="642" t="s">
        <v>771</v>
      </c>
      <c r="B337" s="854">
        <v>44804</v>
      </c>
      <c r="C337" s="642" t="s">
        <v>719</v>
      </c>
      <c r="D337" s="1013">
        <v>2862.66</v>
      </c>
    </row>
    <row r="338" spans="1:4" s="894" customFormat="1" x14ac:dyDescent="0.35">
      <c r="A338" s="642"/>
      <c r="B338" s="854"/>
      <c r="C338" s="642"/>
      <c r="D338" s="1013">
        <f>SUM(D337)</f>
        <v>2862.66</v>
      </c>
    </row>
    <row r="339" spans="1:4" s="894" customFormat="1" x14ac:dyDescent="0.35">
      <c r="B339" s="853"/>
      <c r="D339" s="916"/>
    </row>
    <row r="340" spans="1:4" x14ac:dyDescent="0.35">
      <c r="A340" s="642" t="s">
        <v>768</v>
      </c>
      <c r="B340" s="854">
        <v>44804</v>
      </c>
      <c r="C340" s="642" t="s">
        <v>707</v>
      </c>
      <c r="D340" s="1013">
        <v>169204</v>
      </c>
    </row>
    <row r="341" spans="1:4" x14ac:dyDescent="0.35">
      <c r="A341" s="642" t="s">
        <v>768</v>
      </c>
      <c r="B341" s="854">
        <v>44804</v>
      </c>
      <c r="C341" s="642" t="s">
        <v>713</v>
      </c>
      <c r="D341" s="1013">
        <v>939</v>
      </c>
    </row>
    <row r="342" spans="1:4" x14ac:dyDescent="0.35">
      <c r="A342" s="642" t="s">
        <v>768</v>
      </c>
      <c r="B342" s="854">
        <v>44804</v>
      </c>
      <c r="C342" s="642" t="s">
        <v>719</v>
      </c>
      <c r="D342" s="1013">
        <v>19536.27</v>
      </c>
    </row>
    <row r="343" spans="1:4" x14ac:dyDescent="0.35">
      <c r="A343" s="642" t="s">
        <v>768</v>
      </c>
      <c r="B343" s="854">
        <v>44804</v>
      </c>
      <c r="C343" s="642" t="s">
        <v>712</v>
      </c>
      <c r="D343" s="1013">
        <v>85</v>
      </c>
    </row>
    <row r="344" spans="1:4" x14ac:dyDescent="0.35">
      <c r="A344" s="642" t="s">
        <v>768</v>
      </c>
      <c r="B344" s="854">
        <v>44804</v>
      </c>
      <c r="C344" s="642" t="s">
        <v>714</v>
      </c>
      <c r="D344" s="1013">
        <v>104025</v>
      </c>
    </row>
    <row r="345" spans="1:4" x14ac:dyDescent="0.35">
      <c r="A345" s="642"/>
      <c r="B345" s="642"/>
      <c r="C345" s="642"/>
      <c r="D345" s="1013">
        <f>SUM(D340:D344)</f>
        <v>293789.27</v>
      </c>
    </row>
    <row r="346" spans="1:4" x14ac:dyDescent="0.35">
      <c r="D346" s="916">
        <f>SUM(D345,D338,D335,D331,D325,D317,D312,D305,D302,D299,D291,D287,D279,D275,D268,D258,D253,D249,D243,D236,D229,D225,D220,D213,D206,D200,D192,D185,D179,D174,D166,D162,D156,D151,D143,D138,D134,D128,D120,D110,D102,D96,D88,D83,D78,D70,D63,D53,D43,D36,D26,D19,D13,D6,D3)</f>
        <v>88615918.659999996</v>
      </c>
    </row>
  </sheetData>
  <sortState xmlns:xlrd2="http://schemas.microsoft.com/office/spreadsheetml/2017/richdata2" ref="A2:D344">
    <sortCondition ref="A1:A344"/>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1C14-E12F-47A4-86CE-83AF5719E112}">
  <dimension ref="A1:D352"/>
  <sheetViews>
    <sheetView topLeftCell="A145" workbookViewId="0">
      <selection activeCell="D159" sqref="D159"/>
    </sheetView>
  </sheetViews>
  <sheetFormatPr defaultRowHeight="14.5" x14ac:dyDescent="0.35"/>
  <cols>
    <col min="1" max="1" width="56.81640625" style="894" bestFit="1" customWidth="1"/>
    <col min="2" max="2" width="9.453125" style="894" bestFit="1" customWidth="1"/>
    <col min="3" max="3" width="8.90625" style="894"/>
    <col min="4" max="4" width="15.453125" style="916" customWidth="1"/>
  </cols>
  <sheetData>
    <row r="1" spans="1:4" s="683" customFormat="1" x14ac:dyDescent="0.35">
      <c r="A1" s="683" t="s">
        <v>1</v>
      </c>
      <c r="B1" s="683" t="s">
        <v>704</v>
      </c>
      <c r="C1" s="683" t="s">
        <v>705</v>
      </c>
      <c r="D1" s="917" t="s">
        <v>588</v>
      </c>
    </row>
    <row r="2" spans="1:4" x14ac:dyDescent="0.35">
      <c r="A2" s="642" t="s">
        <v>706</v>
      </c>
      <c r="B2" s="854">
        <v>44834</v>
      </c>
      <c r="C2" s="642" t="s">
        <v>707</v>
      </c>
      <c r="D2" s="1013">
        <v>8553</v>
      </c>
    </row>
    <row r="3" spans="1:4" s="683" customFormat="1" x14ac:dyDescent="0.35">
      <c r="A3" s="1018" t="s">
        <v>769</v>
      </c>
      <c r="B3" s="1019"/>
      <c r="C3" s="1018"/>
      <c r="D3" s="1020">
        <f>SUM(D2)</f>
        <v>8553</v>
      </c>
    </row>
    <row r="4" spans="1:4" s="894" customFormat="1" x14ac:dyDescent="0.35">
      <c r="B4" s="853"/>
      <c r="D4" s="916"/>
    </row>
    <row r="5" spans="1:4" x14ac:dyDescent="0.35">
      <c r="A5" s="642" t="s">
        <v>708</v>
      </c>
      <c r="B5" s="854">
        <v>44834</v>
      </c>
      <c r="C5" s="642" t="s">
        <v>709</v>
      </c>
      <c r="D5" s="1013">
        <v>8113.14</v>
      </c>
    </row>
    <row r="6" spans="1:4" x14ac:dyDescent="0.35">
      <c r="A6" s="642" t="s">
        <v>708</v>
      </c>
      <c r="B6" s="854">
        <v>44834</v>
      </c>
      <c r="C6" s="642" t="s">
        <v>719</v>
      </c>
      <c r="D6" s="1013">
        <v>36823.360000000001</v>
      </c>
    </row>
    <row r="7" spans="1:4" x14ac:dyDescent="0.35">
      <c r="A7" s="642" t="s">
        <v>708</v>
      </c>
      <c r="B7" s="854">
        <v>44834</v>
      </c>
      <c r="C7" s="642" t="s">
        <v>714</v>
      </c>
      <c r="D7" s="1013">
        <v>855</v>
      </c>
    </row>
    <row r="8" spans="1:4" x14ac:dyDescent="0.35">
      <c r="A8" s="642" t="s">
        <v>708</v>
      </c>
      <c r="B8" s="854">
        <v>44834</v>
      </c>
      <c r="C8" s="642" t="s">
        <v>710</v>
      </c>
      <c r="D8" s="1013">
        <v>1393.04</v>
      </c>
    </row>
    <row r="9" spans="1:4" s="683" customFormat="1" x14ac:dyDescent="0.35">
      <c r="A9" s="1018" t="s">
        <v>769</v>
      </c>
      <c r="B9" s="1019"/>
      <c r="C9" s="1018"/>
      <c r="D9" s="1020">
        <f>SUM(D5:D8)</f>
        <v>47184.54</v>
      </c>
    </row>
    <row r="10" spans="1:4" s="894" customFormat="1" x14ac:dyDescent="0.35">
      <c r="B10" s="853"/>
      <c r="D10" s="916"/>
    </row>
    <row r="11" spans="1:4" x14ac:dyDescent="0.35">
      <c r="A11" s="642" t="s">
        <v>711</v>
      </c>
      <c r="B11" s="854">
        <v>44834</v>
      </c>
      <c r="C11" s="642" t="s">
        <v>718</v>
      </c>
      <c r="D11" s="1013">
        <v>-159716</v>
      </c>
    </row>
    <row r="12" spans="1:4" x14ac:dyDescent="0.35">
      <c r="A12" s="642" t="s">
        <v>711</v>
      </c>
      <c r="B12" s="854">
        <v>44834</v>
      </c>
      <c r="C12" s="642" t="s">
        <v>713</v>
      </c>
      <c r="D12" s="1013">
        <v>78900.800000000003</v>
      </c>
    </row>
    <row r="13" spans="1:4" x14ac:dyDescent="0.35">
      <c r="A13" s="642" t="s">
        <v>711</v>
      </c>
      <c r="B13" s="854">
        <v>44834</v>
      </c>
      <c r="C13" s="642" t="s">
        <v>709</v>
      </c>
      <c r="D13" s="1013">
        <v>45542.13</v>
      </c>
    </row>
    <row r="14" spans="1:4" x14ac:dyDescent="0.35">
      <c r="A14" s="642" t="s">
        <v>711</v>
      </c>
      <c r="B14" s="854">
        <v>44834</v>
      </c>
      <c r="C14" s="642" t="s">
        <v>714</v>
      </c>
      <c r="D14" s="1013">
        <v>2993206.5</v>
      </c>
    </row>
    <row r="15" spans="1:4" x14ac:dyDescent="0.35">
      <c r="A15" s="642" t="s">
        <v>711</v>
      </c>
      <c r="B15" s="854">
        <v>44834</v>
      </c>
      <c r="C15" s="642" t="s">
        <v>707</v>
      </c>
      <c r="D15" s="1013">
        <v>6890744</v>
      </c>
    </row>
    <row r="16" spans="1:4" x14ac:dyDescent="0.35">
      <c r="A16" s="642" t="s">
        <v>711</v>
      </c>
      <c r="B16" s="854">
        <v>44834</v>
      </c>
      <c r="C16" s="642" t="s">
        <v>712</v>
      </c>
      <c r="D16" s="1013">
        <v>2457.6999999999998</v>
      </c>
    </row>
    <row r="17" spans="1:4" s="683" customFormat="1" x14ac:dyDescent="0.35">
      <c r="A17" s="1018" t="s">
        <v>769</v>
      </c>
      <c r="B17" s="1019"/>
      <c r="C17" s="1018"/>
      <c r="D17" s="1020">
        <f>SUM(D11:D16)</f>
        <v>9851135.129999999</v>
      </c>
    </row>
    <row r="18" spans="1:4" s="894" customFormat="1" x14ac:dyDescent="0.35">
      <c r="B18" s="853"/>
      <c r="D18" s="916"/>
    </row>
    <row r="19" spans="1:4" x14ac:dyDescent="0.35">
      <c r="A19" s="642" t="s">
        <v>715</v>
      </c>
      <c r="B19" s="854">
        <v>44834</v>
      </c>
      <c r="C19" s="642" t="s">
        <v>707</v>
      </c>
      <c r="D19" s="1013">
        <v>545565</v>
      </c>
    </row>
    <row r="20" spans="1:4" x14ac:dyDescent="0.35">
      <c r="A20" s="642" t="s">
        <v>715</v>
      </c>
      <c r="B20" s="854">
        <v>44834</v>
      </c>
      <c r="C20" s="642" t="s">
        <v>710</v>
      </c>
      <c r="D20" s="1013">
        <v>158102.79</v>
      </c>
    </row>
    <row r="21" spans="1:4" x14ac:dyDescent="0.35">
      <c r="A21" s="642" t="s">
        <v>715</v>
      </c>
      <c r="B21" s="854">
        <v>44834</v>
      </c>
      <c r="C21" s="642" t="s">
        <v>714</v>
      </c>
      <c r="D21" s="1013">
        <v>216630.5</v>
      </c>
    </row>
    <row r="22" spans="1:4" x14ac:dyDescent="0.35">
      <c r="A22" s="642" t="s">
        <v>715</v>
      </c>
      <c r="B22" s="854">
        <v>44834</v>
      </c>
      <c r="C22" s="642" t="s">
        <v>712</v>
      </c>
      <c r="D22" s="1013">
        <v>218</v>
      </c>
    </row>
    <row r="23" spans="1:4" x14ac:dyDescent="0.35">
      <c r="A23" s="642" t="s">
        <v>715</v>
      </c>
      <c r="B23" s="854">
        <v>44834</v>
      </c>
      <c r="C23" s="642" t="s">
        <v>713</v>
      </c>
      <c r="D23" s="1013">
        <v>3708</v>
      </c>
    </row>
    <row r="24" spans="1:4" x14ac:dyDescent="0.35">
      <c r="A24" s="642" t="s">
        <v>715</v>
      </c>
      <c r="B24" s="854">
        <v>44834</v>
      </c>
      <c r="C24" s="642" t="s">
        <v>709</v>
      </c>
      <c r="D24" s="1013">
        <v>238752.69</v>
      </c>
    </row>
    <row r="25" spans="1:4" s="683" customFormat="1" x14ac:dyDescent="0.35">
      <c r="A25" s="1018" t="s">
        <v>769</v>
      </c>
      <c r="B25" s="1019"/>
      <c r="C25" s="1018"/>
      <c r="D25" s="1020">
        <f>SUM(D19:D24)</f>
        <v>1162976.98</v>
      </c>
    </row>
    <row r="26" spans="1:4" s="894" customFormat="1" x14ac:dyDescent="0.35">
      <c r="B26" s="853"/>
      <c r="D26" s="916"/>
    </row>
    <row r="27" spans="1:4" x14ac:dyDescent="0.35">
      <c r="A27" s="642" t="s">
        <v>716</v>
      </c>
      <c r="B27" s="854">
        <v>44834</v>
      </c>
      <c r="C27" s="642" t="s">
        <v>714</v>
      </c>
      <c r="D27" s="1013">
        <v>246477.4</v>
      </c>
    </row>
    <row r="28" spans="1:4" x14ac:dyDescent="0.35">
      <c r="A28" s="642" t="s">
        <v>716</v>
      </c>
      <c r="B28" s="854">
        <v>44834</v>
      </c>
      <c r="C28" s="642" t="s">
        <v>709</v>
      </c>
      <c r="D28" s="1013">
        <v>48879.26</v>
      </c>
    </row>
    <row r="29" spans="1:4" x14ac:dyDescent="0.35">
      <c r="A29" s="642" t="s">
        <v>716</v>
      </c>
      <c r="B29" s="854">
        <v>44834</v>
      </c>
      <c r="C29" s="642" t="s">
        <v>713</v>
      </c>
      <c r="D29" s="1013">
        <v>6369.9</v>
      </c>
    </row>
    <row r="30" spans="1:4" x14ac:dyDescent="0.35">
      <c r="A30" s="642" t="s">
        <v>716</v>
      </c>
      <c r="B30" s="854">
        <v>44834</v>
      </c>
      <c r="C30" s="642" t="s">
        <v>718</v>
      </c>
      <c r="D30" s="1013">
        <v>-155521</v>
      </c>
    </row>
    <row r="31" spans="1:4" x14ac:dyDescent="0.35">
      <c r="A31" s="642" t="s">
        <v>716</v>
      </c>
      <c r="B31" s="854">
        <v>44834</v>
      </c>
      <c r="C31" s="642" t="s">
        <v>707</v>
      </c>
      <c r="D31" s="1013">
        <v>537419</v>
      </c>
    </row>
    <row r="32" spans="1:4" x14ac:dyDescent="0.35">
      <c r="A32" s="642" t="s">
        <v>716</v>
      </c>
      <c r="B32" s="854">
        <v>44834</v>
      </c>
      <c r="C32" s="642" t="s">
        <v>719</v>
      </c>
      <c r="D32" s="1013">
        <v>4390.21</v>
      </c>
    </row>
    <row r="33" spans="1:4" s="683" customFormat="1" x14ac:dyDescent="0.35">
      <c r="A33" s="1018" t="s">
        <v>769</v>
      </c>
      <c r="B33" s="1019"/>
      <c r="C33" s="1018"/>
      <c r="D33" s="1020">
        <f>SUM(D27:D32)</f>
        <v>688014.77</v>
      </c>
    </row>
    <row r="34" spans="1:4" s="894" customFormat="1" x14ac:dyDescent="0.35">
      <c r="B34" s="853"/>
      <c r="D34" s="916"/>
    </row>
    <row r="35" spans="1:4" x14ac:dyDescent="0.35">
      <c r="A35" s="642" t="s">
        <v>717</v>
      </c>
      <c r="B35" s="854">
        <v>44834</v>
      </c>
      <c r="C35" s="642" t="s">
        <v>719</v>
      </c>
      <c r="D35" s="1013">
        <v>7220.12</v>
      </c>
    </row>
    <row r="36" spans="1:4" x14ac:dyDescent="0.35">
      <c r="A36" s="642" t="s">
        <v>717</v>
      </c>
      <c r="B36" s="854">
        <v>44834</v>
      </c>
      <c r="C36" s="642" t="s">
        <v>710</v>
      </c>
      <c r="D36" s="1013">
        <v>18546.419999999998</v>
      </c>
    </row>
    <row r="37" spans="1:4" x14ac:dyDescent="0.35">
      <c r="A37" s="642" t="s">
        <v>717</v>
      </c>
      <c r="B37" s="854">
        <v>44834</v>
      </c>
      <c r="C37" s="642" t="s">
        <v>707</v>
      </c>
      <c r="D37" s="1013">
        <v>6385118</v>
      </c>
    </row>
    <row r="38" spans="1:4" x14ac:dyDescent="0.35">
      <c r="A38" s="642" t="s">
        <v>717</v>
      </c>
      <c r="B38" s="854">
        <v>44834</v>
      </c>
      <c r="C38" s="642" t="s">
        <v>714</v>
      </c>
      <c r="D38" s="1013">
        <v>1894623.6</v>
      </c>
    </row>
    <row r="39" spans="1:4" x14ac:dyDescent="0.35">
      <c r="A39" s="642" t="s">
        <v>717</v>
      </c>
      <c r="B39" s="854">
        <v>44834</v>
      </c>
      <c r="C39" s="642" t="s">
        <v>712</v>
      </c>
      <c r="D39" s="1013">
        <v>134207.4</v>
      </c>
    </row>
    <row r="40" spans="1:4" x14ac:dyDescent="0.35">
      <c r="A40" s="642" t="s">
        <v>717</v>
      </c>
      <c r="B40" s="854">
        <v>44834</v>
      </c>
      <c r="C40" s="642" t="s">
        <v>713</v>
      </c>
      <c r="D40" s="1013">
        <v>65659.199999999997</v>
      </c>
    </row>
    <row r="41" spans="1:4" x14ac:dyDescent="0.35">
      <c r="A41" s="642" t="s">
        <v>717</v>
      </c>
      <c r="B41" s="854">
        <v>44834</v>
      </c>
      <c r="C41" s="642" t="s">
        <v>709</v>
      </c>
      <c r="D41" s="1013">
        <v>651655.9</v>
      </c>
    </row>
    <row r="42" spans="1:4" x14ac:dyDescent="0.35">
      <c r="A42" s="642" t="s">
        <v>717</v>
      </c>
      <c r="B42" s="854">
        <v>44834</v>
      </c>
      <c r="C42" s="642" t="s">
        <v>724</v>
      </c>
      <c r="D42" s="1013">
        <v>0</v>
      </c>
    </row>
    <row r="43" spans="1:4" s="683" customFormat="1" x14ac:dyDescent="0.35">
      <c r="A43" s="1018" t="s">
        <v>769</v>
      </c>
      <c r="B43" s="1019"/>
      <c r="C43" s="1018"/>
      <c r="D43" s="1020">
        <f>SUM(D35:D42)</f>
        <v>9157030.6400000006</v>
      </c>
    </row>
    <row r="44" spans="1:4" s="894" customFormat="1" x14ac:dyDescent="0.35">
      <c r="B44" s="853"/>
      <c r="D44" s="916"/>
    </row>
    <row r="45" spans="1:4" x14ac:dyDescent="0.35">
      <c r="A45" s="642" t="s">
        <v>720</v>
      </c>
      <c r="B45" s="854">
        <v>44834</v>
      </c>
      <c r="C45" s="642" t="s">
        <v>714</v>
      </c>
      <c r="D45" s="1013">
        <v>120358.3</v>
      </c>
    </row>
    <row r="46" spans="1:4" x14ac:dyDescent="0.35">
      <c r="A46" s="642" t="s">
        <v>720</v>
      </c>
      <c r="B46" s="854">
        <v>44834</v>
      </c>
      <c r="C46" s="642" t="s">
        <v>709</v>
      </c>
      <c r="D46" s="1013">
        <v>333255.40000000002</v>
      </c>
    </row>
    <row r="47" spans="1:4" x14ac:dyDescent="0.35">
      <c r="A47" s="642" t="s">
        <v>720</v>
      </c>
      <c r="B47" s="854">
        <v>44834</v>
      </c>
      <c r="C47" s="642" t="s">
        <v>713</v>
      </c>
      <c r="D47" s="1013">
        <v>4271.8999999999996</v>
      </c>
    </row>
    <row r="48" spans="1:4" x14ac:dyDescent="0.35">
      <c r="A48" s="642" t="s">
        <v>720</v>
      </c>
      <c r="B48" s="854">
        <v>44834</v>
      </c>
      <c r="C48" s="642" t="s">
        <v>719</v>
      </c>
      <c r="D48" s="1013">
        <v>504.98</v>
      </c>
    </row>
    <row r="49" spans="1:4" x14ac:dyDescent="0.35">
      <c r="A49" s="642" t="s">
        <v>720</v>
      </c>
      <c r="B49" s="854">
        <v>44834</v>
      </c>
      <c r="C49" s="642" t="s">
        <v>707</v>
      </c>
      <c r="D49" s="1013">
        <v>159081</v>
      </c>
    </row>
    <row r="50" spans="1:4" s="683" customFormat="1" x14ac:dyDescent="0.35">
      <c r="A50" s="1018" t="s">
        <v>769</v>
      </c>
      <c r="B50" s="1019"/>
      <c r="C50" s="1018"/>
      <c r="D50" s="1020">
        <f>SUM(D45:D49)</f>
        <v>617471.58000000007</v>
      </c>
    </row>
    <row r="51" spans="1:4" s="894" customFormat="1" x14ac:dyDescent="0.35">
      <c r="B51" s="853"/>
      <c r="D51" s="916"/>
    </row>
    <row r="52" spans="1:4" x14ac:dyDescent="0.35">
      <c r="A52" s="894" t="s">
        <v>721</v>
      </c>
      <c r="B52" s="853">
        <v>44834</v>
      </c>
      <c r="C52" s="894" t="s">
        <v>713</v>
      </c>
      <c r="D52" s="916">
        <v>9676.7999999999993</v>
      </c>
    </row>
    <row r="53" spans="1:4" x14ac:dyDescent="0.35">
      <c r="A53" s="894" t="s">
        <v>721</v>
      </c>
      <c r="B53" s="853">
        <v>44834</v>
      </c>
      <c r="C53" s="894" t="s">
        <v>712</v>
      </c>
      <c r="D53" s="916">
        <v>4387</v>
      </c>
    </row>
    <row r="54" spans="1:4" x14ac:dyDescent="0.35">
      <c r="A54" s="894" t="s">
        <v>721</v>
      </c>
      <c r="B54" s="853">
        <v>44834</v>
      </c>
      <c r="C54" s="894" t="s">
        <v>707</v>
      </c>
      <c r="D54" s="916">
        <v>0</v>
      </c>
    </row>
    <row r="55" spans="1:4" x14ac:dyDescent="0.35">
      <c r="A55" s="894" t="s">
        <v>721</v>
      </c>
      <c r="B55" s="853">
        <v>44834</v>
      </c>
      <c r="C55" s="894" t="s">
        <v>722</v>
      </c>
      <c r="D55" s="916">
        <v>0</v>
      </c>
    </row>
    <row r="56" spans="1:4" x14ac:dyDescent="0.35">
      <c r="A56" s="894" t="s">
        <v>721</v>
      </c>
      <c r="B56" s="853">
        <v>44834</v>
      </c>
      <c r="C56" s="894" t="s">
        <v>714</v>
      </c>
      <c r="D56" s="916">
        <v>362997</v>
      </c>
    </row>
    <row r="57" spans="1:4" x14ac:dyDescent="0.35">
      <c r="A57" s="894" t="s">
        <v>721</v>
      </c>
      <c r="B57" s="853">
        <v>44834</v>
      </c>
      <c r="C57" s="894" t="s">
        <v>709</v>
      </c>
      <c r="D57" s="916">
        <v>0</v>
      </c>
    </row>
    <row r="58" spans="1:4" x14ac:dyDescent="0.35">
      <c r="A58" s="894" t="s">
        <v>721</v>
      </c>
      <c r="B58" s="853">
        <v>44834</v>
      </c>
      <c r="C58" s="894" t="s">
        <v>719</v>
      </c>
      <c r="D58" s="916">
        <v>0</v>
      </c>
    </row>
    <row r="59" spans="1:4" s="683" customFormat="1" x14ac:dyDescent="0.35">
      <c r="A59" s="683" t="s">
        <v>769</v>
      </c>
      <c r="B59" s="1017"/>
      <c r="D59" s="917">
        <f>SUM(D52:D58)</f>
        <v>377060.8</v>
      </c>
    </row>
    <row r="60" spans="1:4" s="894" customFormat="1" x14ac:dyDescent="0.35">
      <c r="B60" s="853"/>
      <c r="D60" s="916"/>
    </row>
    <row r="61" spans="1:4" x14ac:dyDescent="0.35">
      <c r="A61" s="642" t="s">
        <v>723</v>
      </c>
      <c r="B61" s="854">
        <v>44834</v>
      </c>
      <c r="C61" s="642" t="s">
        <v>712</v>
      </c>
      <c r="D61" s="1013">
        <v>11304.9</v>
      </c>
    </row>
    <row r="62" spans="1:4" x14ac:dyDescent="0.35">
      <c r="A62" s="642" t="s">
        <v>723</v>
      </c>
      <c r="B62" s="854">
        <v>44834</v>
      </c>
      <c r="C62" s="642" t="s">
        <v>709</v>
      </c>
      <c r="D62" s="1013">
        <v>1301098.93</v>
      </c>
    </row>
    <row r="63" spans="1:4" x14ac:dyDescent="0.35">
      <c r="A63" s="642" t="s">
        <v>723</v>
      </c>
      <c r="B63" s="854">
        <v>44834</v>
      </c>
      <c r="C63" s="642" t="s">
        <v>713</v>
      </c>
      <c r="D63" s="1013">
        <v>97712.5</v>
      </c>
    </row>
    <row r="64" spans="1:4" x14ac:dyDescent="0.35">
      <c r="A64" s="642" t="s">
        <v>723</v>
      </c>
      <c r="B64" s="854">
        <v>44834</v>
      </c>
      <c r="C64" s="642" t="s">
        <v>724</v>
      </c>
      <c r="D64" s="1013">
        <v>33186.39</v>
      </c>
    </row>
    <row r="65" spans="1:4" x14ac:dyDescent="0.35">
      <c r="A65" s="642" t="s">
        <v>723</v>
      </c>
      <c r="B65" s="854">
        <v>44834</v>
      </c>
      <c r="C65" s="642" t="s">
        <v>710</v>
      </c>
      <c r="D65" s="1013">
        <v>1064.3900000000001</v>
      </c>
    </row>
    <row r="66" spans="1:4" x14ac:dyDescent="0.35">
      <c r="A66" s="642" t="s">
        <v>723</v>
      </c>
      <c r="B66" s="854">
        <v>44834</v>
      </c>
      <c r="C66" s="642" t="s">
        <v>714</v>
      </c>
      <c r="D66" s="1013">
        <v>4715366.7</v>
      </c>
    </row>
    <row r="67" spans="1:4" x14ac:dyDescent="0.35">
      <c r="A67" s="642" t="s">
        <v>723</v>
      </c>
      <c r="B67" s="854">
        <v>44834</v>
      </c>
      <c r="C67" s="642" t="s">
        <v>707</v>
      </c>
      <c r="D67" s="1013">
        <v>12931522.92</v>
      </c>
    </row>
    <row r="68" spans="1:4" s="683" customFormat="1" x14ac:dyDescent="0.35">
      <c r="A68" s="1018" t="s">
        <v>769</v>
      </c>
      <c r="B68" s="1019"/>
      <c r="C68" s="1018"/>
      <c r="D68" s="1020">
        <f>SUM(D61:D67)</f>
        <v>19091256.73</v>
      </c>
    </row>
    <row r="69" spans="1:4" s="894" customFormat="1" x14ac:dyDescent="0.35">
      <c r="B69" s="853"/>
      <c r="D69" s="916"/>
    </row>
    <row r="70" spans="1:4" x14ac:dyDescent="0.35">
      <c r="A70" s="642" t="s">
        <v>725</v>
      </c>
      <c r="B70" s="854">
        <v>44834</v>
      </c>
      <c r="C70" s="642" t="s">
        <v>714</v>
      </c>
      <c r="D70" s="1013">
        <v>487312.1</v>
      </c>
    </row>
    <row r="71" spans="1:4" x14ac:dyDescent="0.35">
      <c r="A71" s="642" t="s">
        <v>725</v>
      </c>
      <c r="B71" s="854">
        <v>44834</v>
      </c>
      <c r="C71" s="642" t="s">
        <v>709</v>
      </c>
      <c r="D71" s="1013">
        <v>1233443.78</v>
      </c>
    </row>
    <row r="72" spans="1:4" x14ac:dyDescent="0.35">
      <c r="A72" s="642" t="s">
        <v>725</v>
      </c>
      <c r="B72" s="854">
        <v>44834</v>
      </c>
      <c r="C72" s="642" t="s">
        <v>713</v>
      </c>
      <c r="D72" s="1013">
        <v>12363.5</v>
      </c>
    </row>
    <row r="73" spans="1:4" x14ac:dyDescent="0.35">
      <c r="A73" s="642" t="s">
        <v>725</v>
      </c>
      <c r="B73" s="854">
        <v>44834</v>
      </c>
      <c r="C73" s="642" t="s">
        <v>710</v>
      </c>
      <c r="D73" s="1013">
        <v>53557.9</v>
      </c>
    </row>
    <row r="74" spans="1:4" x14ac:dyDescent="0.35">
      <c r="A74" s="642" t="s">
        <v>725</v>
      </c>
      <c r="B74" s="854">
        <v>44834</v>
      </c>
      <c r="C74" s="642" t="s">
        <v>707</v>
      </c>
      <c r="D74" s="1013">
        <v>150837</v>
      </c>
    </row>
    <row r="75" spans="1:4" x14ac:dyDescent="0.35">
      <c r="A75" s="642" t="s">
        <v>725</v>
      </c>
      <c r="B75" s="854">
        <v>44834</v>
      </c>
      <c r="C75" s="642" t="s">
        <v>712</v>
      </c>
      <c r="D75" s="1013">
        <v>573.1</v>
      </c>
    </row>
    <row r="76" spans="1:4" s="683" customFormat="1" x14ac:dyDescent="0.35">
      <c r="A76" s="1018" t="s">
        <v>769</v>
      </c>
      <c r="B76" s="1019"/>
      <c r="C76" s="1018"/>
      <c r="D76" s="1020">
        <f>SUM(D70:D75)</f>
        <v>1938087.38</v>
      </c>
    </row>
    <row r="77" spans="1:4" s="894" customFormat="1" x14ac:dyDescent="0.35">
      <c r="B77" s="853"/>
      <c r="D77" s="916"/>
    </row>
    <row r="78" spans="1:4" x14ac:dyDescent="0.35">
      <c r="A78" s="642" t="s">
        <v>726</v>
      </c>
      <c r="B78" s="854">
        <v>44834</v>
      </c>
      <c r="C78" s="642" t="s">
        <v>707</v>
      </c>
      <c r="D78" s="1013">
        <v>2160201</v>
      </c>
    </row>
    <row r="79" spans="1:4" x14ac:dyDescent="0.35">
      <c r="A79" s="642" t="s">
        <v>726</v>
      </c>
      <c r="B79" s="854">
        <v>44834</v>
      </c>
      <c r="C79" s="642" t="s">
        <v>712</v>
      </c>
      <c r="D79" s="1013">
        <v>4522.8</v>
      </c>
    </row>
    <row r="80" spans="1:4" x14ac:dyDescent="0.35">
      <c r="A80" s="642" t="s">
        <v>726</v>
      </c>
      <c r="B80" s="854">
        <v>44834</v>
      </c>
      <c r="C80" s="642" t="s">
        <v>714</v>
      </c>
      <c r="D80" s="1013">
        <v>1142331</v>
      </c>
    </row>
    <row r="81" spans="1:4" x14ac:dyDescent="0.35">
      <c r="A81" s="642" t="s">
        <v>726</v>
      </c>
      <c r="B81" s="854">
        <v>44834</v>
      </c>
      <c r="C81" s="642" t="s">
        <v>709</v>
      </c>
      <c r="D81" s="1013">
        <v>673170.86</v>
      </c>
    </row>
    <row r="82" spans="1:4" x14ac:dyDescent="0.35">
      <c r="A82" s="642" t="s">
        <v>726</v>
      </c>
      <c r="B82" s="854">
        <v>44834</v>
      </c>
      <c r="C82" s="642" t="s">
        <v>713</v>
      </c>
      <c r="D82" s="1013">
        <v>20918.8</v>
      </c>
    </row>
    <row r="83" spans="1:4" s="683" customFormat="1" x14ac:dyDescent="0.35">
      <c r="A83" s="1018" t="s">
        <v>769</v>
      </c>
      <c r="B83" s="1019"/>
      <c r="C83" s="1018"/>
      <c r="D83" s="1020">
        <f>SUM(D78:D82)</f>
        <v>4001144.4599999995</v>
      </c>
    </row>
    <row r="84" spans="1:4" s="894" customFormat="1" x14ac:dyDescent="0.35">
      <c r="B84" s="853"/>
      <c r="D84" s="916"/>
    </row>
    <row r="85" spans="1:4" x14ac:dyDescent="0.35">
      <c r="A85" s="642" t="s">
        <v>45</v>
      </c>
      <c r="B85" s="854">
        <v>44834</v>
      </c>
      <c r="C85" s="642" t="s">
        <v>713</v>
      </c>
      <c r="D85" s="1013">
        <v>493.5</v>
      </c>
    </row>
    <row r="86" spans="1:4" x14ac:dyDescent="0.35">
      <c r="A86" s="642" t="s">
        <v>45</v>
      </c>
      <c r="B86" s="854">
        <v>44834</v>
      </c>
      <c r="C86" s="642" t="s">
        <v>712</v>
      </c>
      <c r="D86" s="1013">
        <v>80</v>
      </c>
    </row>
    <row r="87" spans="1:4" x14ac:dyDescent="0.35">
      <c r="A87" s="642" t="s">
        <v>45</v>
      </c>
      <c r="B87" s="854">
        <v>44834</v>
      </c>
      <c r="C87" s="642" t="s">
        <v>714</v>
      </c>
      <c r="D87" s="1013">
        <v>19693.599999999999</v>
      </c>
    </row>
    <row r="88" spans="1:4" x14ac:dyDescent="0.35">
      <c r="A88" s="642" t="s">
        <v>45</v>
      </c>
      <c r="B88" s="854">
        <v>44834</v>
      </c>
      <c r="C88" s="642" t="s">
        <v>709</v>
      </c>
      <c r="D88" s="1013">
        <v>48223.3</v>
      </c>
    </row>
    <row r="89" spans="1:4" s="683" customFormat="1" x14ac:dyDescent="0.35">
      <c r="A89" s="1018" t="s">
        <v>769</v>
      </c>
      <c r="B89" s="1019"/>
      <c r="C89" s="1018"/>
      <c r="D89" s="1020">
        <f>SUM(D85:D88)</f>
        <v>68490.399999999994</v>
      </c>
    </row>
    <row r="90" spans="1:4" s="894" customFormat="1" x14ac:dyDescent="0.35">
      <c r="B90" s="853"/>
      <c r="D90" s="916"/>
    </row>
    <row r="91" spans="1:4" x14ac:dyDescent="0.35">
      <c r="A91" s="642" t="s">
        <v>727</v>
      </c>
      <c r="B91" s="854">
        <v>44834</v>
      </c>
      <c r="C91" s="642" t="s">
        <v>714</v>
      </c>
      <c r="D91" s="1013">
        <v>8994.7000000000007</v>
      </c>
    </row>
    <row r="92" spans="1:4" x14ac:dyDescent="0.35">
      <c r="A92" s="642" t="s">
        <v>727</v>
      </c>
      <c r="B92" s="854">
        <v>44834</v>
      </c>
      <c r="C92" s="642" t="s">
        <v>712</v>
      </c>
      <c r="D92" s="1013">
        <v>80</v>
      </c>
    </row>
    <row r="93" spans="1:4" x14ac:dyDescent="0.35">
      <c r="A93" s="642" t="s">
        <v>727</v>
      </c>
      <c r="B93" s="854">
        <v>44834</v>
      </c>
      <c r="C93" s="642" t="s">
        <v>713</v>
      </c>
      <c r="D93" s="1013">
        <v>7.5</v>
      </c>
    </row>
    <row r="94" spans="1:4" x14ac:dyDescent="0.35">
      <c r="A94" s="642" t="s">
        <v>727</v>
      </c>
      <c r="B94" s="854">
        <v>44834</v>
      </c>
      <c r="C94" s="642" t="s">
        <v>707</v>
      </c>
      <c r="D94" s="1013">
        <v>45993</v>
      </c>
    </row>
    <row r="95" spans="1:4" s="683" customFormat="1" x14ac:dyDescent="0.35">
      <c r="A95" s="1018" t="s">
        <v>769</v>
      </c>
      <c r="B95" s="1019"/>
      <c r="C95" s="1018"/>
      <c r="D95" s="1020">
        <f>SUM(D91:D94)</f>
        <v>55075.199999999997</v>
      </c>
    </row>
    <row r="96" spans="1:4" s="894" customFormat="1" x14ac:dyDescent="0.35">
      <c r="B96" s="853"/>
      <c r="D96" s="916"/>
    </row>
    <row r="97" spans="1:4" x14ac:dyDescent="0.35">
      <c r="A97" s="642" t="s">
        <v>728</v>
      </c>
      <c r="B97" s="854">
        <v>44834</v>
      </c>
      <c r="C97" s="642" t="s">
        <v>712</v>
      </c>
      <c r="D97" s="1013">
        <v>4983.3999999999996</v>
      </c>
    </row>
    <row r="98" spans="1:4" x14ac:dyDescent="0.35">
      <c r="A98" s="642" t="s">
        <v>728</v>
      </c>
      <c r="B98" s="854">
        <v>44834</v>
      </c>
      <c r="C98" s="642" t="s">
        <v>719</v>
      </c>
      <c r="D98" s="1013">
        <v>1869.28</v>
      </c>
    </row>
    <row r="99" spans="1:4" x14ac:dyDescent="0.35">
      <c r="A99" s="642" t="s">
        <v>728</v>
      </c>
      <c r="B99" s="854">
        <v>44834</v>
      </c>
      <c r="C99" s="642" t="s">
        <v>714</v>
      </c>
      <c r="D99" s="1013">
        <v>321707.7</v>
      </c>
    </row>
    <row r="100" spans="1:4" x14ac:dyDescent="0.35">
      <c r="A100" s="642" t="s">
        <v>728</v>
      </c>
      <c r="B100" s="854">
        <v>44834</v>
      </c>
      <c r="C100" s="642" t="s">
        <v>709</v>
      </c>
      <c r="D100" s="1013">
        <v>267090.67</v>
      </c>
    </row>
    <row r="101" spans="1:4" x14ac:dyDescent="0.35">
      <c r="A101" s="642" t="s">
        <v>728</v>
      </c>
      <c r="B101" s="854">
        <v>44834</v>
      </c>
      <c r="C101" s="642" t="s">
        <v>713</v>
      </c>
      <c r="D101" s="1013">
        <v>9517.9</v>
      </c>
    </row>
    <row r="102" spans="1:4" x14ac:dyDescent="0.35">
      <c r="A102" s="642" t="s">
        <v>728</v>
      </c>
      <c r="B102" s="854">
        <v>44834</v>
      </c>
      <c r="C102" s="642" t="s">
        <v>707</v>
      </c>
      <c r="D102" s="1013">
        <v>879770</v>
      </c>
    </row>
    <row r="103" spans="1:4" s="683" customFormat="1" x14ac:dyDescent="0.35">
      <c r="A103" s="1018" t="s">
        <v>769</v>
      </c>
      <c r="B103" s="1019"/>
      <c r="C103" s="1018"/>
      <c r="D103" s="1020">
        <f>SUM(D97:D102)</f>
        <v>1484938.9500000002</v>
      </c>
    </row>
    <row r="104" spans="1:4" s="894" customFormat="1" x14ac:dyDescent="0.35">
      <c r="B104" s="853"/>
      <c r="D104" s="916"/>
    </row>
    <row r="105" spans="1:4" x14ac:dyDescent="0.35">
      <c r="A105" s="642" t="s">
        <v>729</v>
      </c>
      <c r="B105" s="854">
        <v>44834</v>
      </c>
      <c r="C105" s="642" t="s">
        <v>707</v>
      </c>
      <c r="D105" s="1013">
        <v>297170</v>
      </c>
    </row>
    <row r="106" spans="1:4" x14ac:dyDescent="0.35">
      <c r="A106" s="642" t="s">
        <v>729</v>
      </c>
      <c r="B106" s="854">
        <v>44834</v>
      </c>
      <c r="C106" s="642" t="s">
        <v>712</v>
      </c>
      <c r="D106" s="1013">
        <v>190</v>
      </c>
    </row>
    <row r="107" spans="1:4" x14ac:dyDescent="0.35">
      <c r="A107" s="642" t="s">
        <v>729</v>
      </c>
      <c r="B107" s="854">
        <v>44834</v>
      </c>
      <c r="C107" s="642" t="s">
        <v>719</v>
      </c>
      <c r="D107" s="1013">
        <v>447.67</v>
      </c>
    </row>
    <row r="108" spans="1:4" x14ac:dyDescent="0.35">
      <c r="A108" s="642" t="s">
        <v>729</v>
      </c>
      <c r="B108" s="854">
        <v>44834</v>
      </c>
      <c r="C108" s="642" t="s">
        <v>714</v>
      </c>
      <c r="D108" s="1013">
        <v>99114.1</v>
      </c>
    </row>
    <row r="109" spans="1:4" x14ac:dyDescent="0.35">
      <c r="A109" s="642" t="s">
        <v>729</v>
      </c>
      <c r="B109" s="854">
        <v>44834</v>
      </c>
      <c r="C109" s="642" t="s">
        <v>713</v>
      </c>
      <c r="D109" s="1013">
        <v>3609.5</v>
      </c>
    </row>
    <row r="110" spans="1:4" s="683" customFormat="1" x14ac:dyDescent="0.35">
      <c r="A110" s="1018" t="s">
        <v>769</v>
      </c>
      <c r="B110" s="1019"/>
      <c r="C110" s="1018"/>
      <c r="D110" s="1020">
        <f>SUM(D105:D109)</f>
        <v>400531.27</v>
      </c>
    </row>
    <row r="111" spans="1:4" s="894" customFormat="1" x14ac:dyDescent="0.35">
      <c r="B111" s="853"/>
      <c r="D111" s="916"/>
    </row>
    <row r="112" spans="1:4" x14ac:dyDescent="0.35">
      <c r="A112" s="642" t="s">
        <v>730</v>
      </c>
      <c r="B112" s="854">
        <v>44834</v>
      </c>
      <c r="C112" s="642" t="s">
        <v>712</v>
      </c>
      <c r="D112" s="1013">
        <v>1292</v>
      </c>
    </row>
    <row r="113" spans="1:4" x14ac:dyDescent="0.35">
      <c r="A113" s="642" t="s">
        <v>730</v>
      </c>
      <c r="B113" s="854">
        <v>44834</v>
      </c>
      <c r="C113" s="642" t="s">
        <v>714</v>
      </c>
      <c r="D113" s="1013">
        <v>578122.69999999995</v>
      </c>
    </row>
    <row r="114" spans="1:4" x14ac:dyDescent="0.35">
      <c r="A114" s="642" t="s">
        <v>730</v>
      </c>
      <c r="B114" s="854">
        <v>44834</v>
      </c>
      <c r="C114" s="642" t="s">
        <v>709</v>
      </c>
      <c r="D114" s="1013">
        <v>791445.53</v>
      </c>
    </row>
    <row r="115" spans="1:4" x14ac:dyDescent="0.35">
      <c r="A115" s="642" t="s">
        <v>730</v>
      </c>
      <c r="B115" s="854">
        <v>44834</v>
      </c>
      <c r="C115" s="642" t="s">
        <v>707</v>
      </c>
      <c r="D115" s="1013">
        <v>947773</v>
      </c>
    </row>
    <row r="116" spans="1:4" x14ac:dyDescent="0.35">
      <c r="A116" s="642" t="s">
        <v>730</v>
      </c>
      <c r="B116" s="854">
        <v>44834</v>
      </c>
      <c r="C116" s="642" t="s">
        <v>719</v>
      </c>
      <c r="D116" s="1013">
        <v>10104.620000000001</v>
      </c>
    </row>
    <row r="117" spans="1:4" x14ac:dyDescent="0.35">
      <c r="A117" s="642" t="s">
        <v>730</v>
      </c>
      <c r="B117" s="854">
        <v>44834</v>
      </c>
      <c r="C117" s="642" t="s">
        <v>713</v>
      </c>
      <c r="D117" s="1013">
        <v>23490</v>
      </c>
    </row>
    <row r="118" spans="1:4" s="683" customFormat="1" x14ac:dyDescent="0.35">
      <c r="A118" s="1018" t="s">
        <v>769</v>
      </c>
      <c r="B118" s="1019"/>
      <c r="C118" s="1018"/>
      <c r="D118" s="1020">
        <f>SUM(D112:D117)</f>
        <v>2352227.85</v>
      </c>
    </row>
    <row r="119" spans="1:4" s="894" customFormat="1" x14ac:dyDescent="0.35">
      <c r="B119" s="853"/>
      <c r="D119" s="916"/>
    </row>
    <row r="120" spans="1:4" x14ac:dyDescent="0.35">
      <c r="A120" s="642" t="s">
        <v>731</v>
      </c>
      <c r="B120" s="854">
        <v>44834</v>
      </c>
      <c r="C120" s="642" t="s">
        <v>713</v>
      </c>
      <c r="D120" s="1013">
        <v>38568.9</v>
      </c>
    </row>
    <row r="121" spans="1:4" x14ac:dyDescent="0.35">
      <c r="A121" s="642" t="s">
        <v>731</v>
      </c>
      <c r="B121" s="854">
        <v>44834</v>
      </c>
      <c r="C121" s="642" t="s">
        <v>724</v>
      </c>
      <c r="D121" s="1013">
        <v>0</v>
      </c>
    </row>
    <row r="122" spans="1:4" x14ac:dyDescent="0.35">
      <c r="A122" s="642" t="s">
        <v>731</v>
      </c>
      <c r="B122" s="854">
        <v>44834</v>
      </c>
      <c r="C122" s="642" t="s">
        <v>712</v>
      </c>
      <c r="D122" s="1013">
        <v>85548.7</v>
      </c>
    </row>
    <row r="123" spans="1:4" x14ac:dyDescent="0.35">
      <c r="A123" s="642" t="s">
        <v>731</v>
      </c>
      <c r="B123" s="854">
        <v>44834</v>
      </c>
      <c r="C123" s="642" t="s">
        <v>714</v>
      </c>
      <c r="D123" s="1013">
        <v>1711792.6</v>
      </c>
    </row>
    <row r="124" spans="1:4" x14ac:dyDescent="0.35">
      <c r="A124" s="642" t="s">
        <v>731</v>
      </c>
      <c r="B124" s="854">
        <v>44834</v>
      </c>
      <c r="C124" s="642" t="s">
        <v>719</v>
      </c>
      <c r="D124" s="1013">
        <v>62933.83</v>
      </c>
    </row>
    <row r="125" spans="1:4" x14ac:dyDescent="0.35">
      <c r="A125" s="642" t="s">
        <v>731</v>
      </c>
      <c r="B125" s="854">
        <v>44834</v>
      </c>
      <c r="C125" s="642" t="s">
        <v>709</v>
      </c>
      <c r="D125" s="1013">
        <v>62536.83</v>
      </c>
    </row>
    <row r="126" spans="1:4" x14ac:dyDescent="0.35">
      <c r="A126" s="642" t="s">
        <v>731</v>
      </c>
      <c r="B126" s="854">
        <v>44834</v>
      </c>
      <c r="C126" s="642" t="s">
        <v>710</v>
      </c>
      <c r="D126" s="1013">
        <v>0</v>
      </c>
    </row>
    <row r="127" spans="1:4" x14ac:dyDescent="0.35">
      <c r="A127" s="642" t="s">
        <v>731</v>
      </c>
      <c r="B127" s="854">
        <v>44834</v>
      </c>
      <c r="C127" s="642" t="s">
        <v>707</v>
      </c>
      <c r="D127" s="1013">
        <v>6736316.1600000001</v>
      </c>
    </row>
    <row r="128" spans="1:4" s="683" customFormat="1" x14ac:dyDescent="0.35">
      <c r="A128" s="1018" t="s">
        <v>769</v>
      </c>
      <c r="B128" s="1019"/>
      <c r="C128" s="1018"/>
      <c r="D128" s="1020">
        <f>SUM(D120:D127)</f>
        <v>8697697.0199999996</v>
      </c>
    </row>
    <row r="129" spans="1:4" s="894" customFormat="1" x14ac:dyDescent="0.35">
      <c r="B129" s="853"/>
      <c r="D129" s="916"/>
    </row>
    <row r="130" spans="1:4" x14ac:dyDescent="0.35">
      <c r="A130" s="642" t="s">
        <v>732</v>
      </c>
      <c r="B130" s="854">
        <v>44834</v>
      </c>
      <c r="C130" s="642" t="s">
        <v>719</v>
      </c>
      <c r="D130" s="1013">
        <v>10353.280000000001</v>
      </c>
    </row>
    <row r="131" spans="1:4" x14ac:dyDescent="0.35">
      <c r="A131" s="642" t="s">
        <v>732</v>
      </c>
      <c r="B131" s="854">
        <v>44834</v>
      </c>
      <c r="C131" s="642" t="s">
        <v>713</v>
      </c>
      <c r="D131" s="1013">
        <v>3941</v>
      </c>
    </row>
    <row r="132" spans="1:4" x14ac:dyDescent="0.35">
      <c r="A132" s="642" t="s">
        <v>732</v>
      </c>
      <c r="B132" s="854">
        <v>44834</v>
      </c>
      <c r="C132" s="642" t="s">
        <v>707</v>
      </c>
      <c r="D132" s="1013">
        <v>489977</v>
      </c>
    </row>
    <row r="133" spans="1:4" x14ac:dyDescent="0.35">
      <c r="A133" s="642" t="s">
        <v>732</v>
      </c>
      <c r="B133" s="854">
        <v>44834</v>
      </c>
      <c r="C133" s="642" t="s">
        <v>714</v>
      </c>
      <c r="D133" s="1013">
        <v>160372.1</v>
      </c>
    </row>
    <row r="134" spans="1:4" x14ac:dyDescent="0.35">
      <c r="A134" s="642" t="s">
        <v>732</v>
      </c>
      <c r="B134" s="854">
        <v>44834</v>
      </c>
      <c r="C134" s="642" t="s">
        <v>709</v>
      </c>
      <c r="D134" s="1013">
        <v>25677.34</v>
      </c>
    </row>
    <row r="135" spans="1:4" x14ac:dyDescent="0.35">
      <c r="A135" s="642" t="s">
        <v>732</v>
      </c>
      <c r="B135" s="854">
        <v>44834</v>
      </c>
      <c r="C135" s="642" t="s">
        <v>712</v>
      </c>
      <c r="D135" s="1013">
        <v>170</v>
      </c>
    </row>
    <row r="136" spans="1:4" s="683" customFormat="1" x14ac:dyDescent="0.35">
      <c r="A136" s="1018" t="s">
        <v>769</v>
      </c>
      <c r="B136" s="1019"/>
      <c r="C136" s="1018"/>
      <c r="D136" s="1020">
        <f>SUM(D130:D135)</f>
        <v>690490.72</v>
      </c>
    </row>
    <row r="137" spans="1:4" s="894" customFormat="1" x14ac:dyDescent="0.35">
      <c r="B137" s="853"/>
      <c r="D137" s="916"/>
    </row>
    <row r="138" spans="1:4" x14ac:dyDescent="0.35">
      <c r="A138" s="642" t="s">
        <v>777</v>
      </c>
      <c r="B138" s="854">
        <v>44834</v>
      </c>
      <c r="C138" s="642" t="s">
        <v>709</v>
      </c>
      <c r="D138" s="1013">
        <v>33615.22</v>
      </c>
    </row>
    <row r="139" spans="1:4" x14ac:dyDescent="0.35">
      <c r="A139" s="642" t="s">
        <v>777</v>
      </c>
      <c r="B139" s="854">
        <v>44834</v>
      </c>
      <c r="C139" s="642" t="s">
        <v>713</v>
      </c>
      <c r="D139" s="1013">
        <v>577</v>
      </c>
    </row>
    <row r="140" spans="1:4" x14ac:dyDescent="0.35">
      <c r="A140" s="642" t="s">
        <v>777</v>
      </c>
      <c r="B140" s="854">
        <v>44834</v>
      </c>
      <c r="C140" s="642" t="s">
        <v>714</v>
      </c>
      <c r="D140" s="1013">
        <v>15046.3</v>
      </c>
    </row>
    <row r="141" spans="1:4" x14ac:dyDescent="0.35">
      <c r="A141" s="642" t="s">
        <v>777</v>
      </c>
      <c r="B141" s="854">
        <v>44834</v>
      </c>
      <c r="C141" s="642" t="s">
        <v>712</v>
      </c>
      <c r="D141" s="1013">
        <v>220</v>
      </c>
    </row>
    <row r="142" spans="1:4" s="683" customFormat="1" x14ac:dyDescent="0.35">
      <c r="A142" s="1018" t="s">
        <v>769</v>
      </c>
      <c r="B142" s="1019"/>
      <c r="C142" s="1018"/>
      <c r="D142" s="1020">
        <f>SUM(D138:D141)</f>
        <v>49458.520000000004</v>
      </c>
    </row>
    <row r="143" spans="1:4" s="894" customFormat="1" x14ac:dyDescent="0.35">
      <c r="B143" s="853"/>
      <c r="D143" s="916"/>
    </row>
    <row r="144" spans="1:4" x14ac:dyDescent="0.35">
      <c r="A144" s="642" t="s">
        <v>483</v>
      </c>
      <c r="B144" s="854">
        <v>44834</v>
      </c>
      <c r="C144" s="642" t="s">
        <v>713</v>
      </c>
      <c r="D144" s="1013">
        <v>224</v>
      </c>
    </row>
    <row r="145" spans="1:4" x14ac:dyDescent="0.35">
      <c r="A145" s="642" t="s">
        <v>483</v>
      </c>
      <c r="B145" s="854">
        <v>44834</v>
      </c>
      <c r="C145" s="642" t="s">
        <v>709</v>
      </c>
      <c r="D145" s="1013">
        <v>14566.59</v>
      </c>
    </row>
    <row r="146" spans="1:4" x14ac:dyDescent="0.35">
      <c r="A146" s="642" t="s">
        <v>483</v>
      </c>
      <c r="B146" s="854">
        <v>44834</v>
      </c>
      <c r="C146" s="642" t="s">
        <v>714</v>
      </c>
      <c r="D146" s="1013">
        <v>13077.3</v>
      </c>
    </row>
    <row r="147" spans="1:4" s="683" customFormat="1" x14ac:dyDescent="0.35">
      <c r="A147" s="1018" t="s">
        <v>769</v>
      </c>
      <c r="B147" s="1019"/>
      <c r="C147" s="1018"/>
      <c r="D147" s="1020">
        <f>SUM(D144:D146)</f>
        <v>27867.89</v>
      </c>
    </row>
    <row r="148" spans="1:4" s="894" customFormat="1" x14ac:dyDescent="0.35">
      <c r="B148" s="853"/>
      <c r="D148" s="916"/>
    </row>
    <row r="149" spans="1:4" x14ac:dyDescent="0.35">
      <c r="A149" s="642" t="s">
        <v>736</v>
      </c>
      <c r="B149" s="854">
        <v>44834</v>
      </c>
      <c r="C149" s="642" t="s">
        <v>709</v>
      </c>
      <c r="D149" s="1013">
        <v>66655.990000000005</v>
      </c>
    </row>
    <row r="150" spans="1:4" x14ac:dyDescent="0.35">
      <c r="A150" s="642" t="s">
        <v>736</v>
      </c>
      <c r="B150" s="854">
        <v>44834</v>
      </c>
      <c r="C150" s="642" t="s">
        <v>713</v>
      </c>
      <c r="D150" s="1013">
        <v>4188</v>
      </c>
    </row>
    <row r="151" spans="1:4" x14ac:dyDescent="0.35">
      <c r="A151" s="642" t="s">
        <v>736</v>
      </c>
      <c r="B151" s="854">
        <v>44834</v>
      </c>
      <c r="C151" s="642" t="s">
        <v>714</v>
      </c>
      <c r="D151" s="1013">
        <v>307573</v>
      </c>
    </row>
    <row r="152" spans="1:4" x14ac:dyDescent="0.35">
      <c r="A152" s="642" t="s">
        <v>736</v>
      </c>
      <c r="B152" s="854">
        <v>44834</v>
      </c>
      <c r="C152" s="642" t="s">
        <v>712</v>
      </c>
      <c r="D152" s="1013">
        <v>733.5</v>
      </c>
    </row>
    <row r="153" spans="1:4" x14ac:dyDescent="0.35">
      <c r="A153" s="642" t="s">
        <v>736</v>
      </c>
      <c r="B153" s="854">
        <v>44834</v>
      </c>
      <c r="C153" s="642" t="s">
        <v>707</v>
      </c>
      <c r="D153" s="1013">
        <v>463021</v>
      </c>
    </row>
    <row r="154" spans="1:4" s="683" customFormat="1" x14ac:dyDescent="0.35">
      <c r="A154" s="1018" t="s">
        <v>769</v>
      </c>
      <c r="B154" s="1019"/>
      <c r="C154" s="1018"/>
      <c r="D154" s="1020">
        <f>SUM(D149:D153)</f>
        <v>842171.49</v>
      </c>
    </row>
    <row r="155" spans="1:4" s="894" customFormat="1" x14ac:dyDescent="0.35">
      <c r="B155" s="853"/>
      <c r="D155" s="916"/>
    </row>
    <row r="156" spans="1:4" x14ac:dyDescent="0.35">
      <c r="A156" s="642" t="s">
        <v>511</v>
      </c>
      <c r="B156" s="854">
        <v>44834</v>
      </c>
      <c r="C156" s="642" t="s">
        <v>712</v>
      </c>
      <c r="D156" s="1013">
        <v>120</v>
      </c>
    </row>
    <row r="157" spans="1:4" x14ac:dyDescent="0.35">
      <c r="A157" s="642" t="s">
        <v>511</v>
      </c>
      <c r="B157" s="854">
        <v>44834</v>
      </c>
      <c r="C157" s="642" t="s">
        <v>709</v>
      </c>
      <c r="D157" s="1013">
        <v>52033.24</v>
      </c>
    </row>
    <row r="158" spans="1:4" x14ac:dyDescent="0.35">
      <c r="A158" s="642" t="s">
        <v>511</v>
      </c>
      <c r="B158" s="854">
        <v>44834</v>
      </c>
      <c r="C158" s="642" t="s">
        <v>714</v>
      </c>
      <c r="D158" s="1013">
        <v>16338.7</v>
      </c>
    </row>
    <row r="159" spans="1:4" s="683" customFormat="1" x14ac:dyDescent="0.35">
      <c r="A159" s="1018" t="s">
        <v>769</v>
      </c>
      <c r="B159" s="1019"/>
      <c r="C159" s="1018"/>
      <c r="D159" s="1020">
        <f>SUM(D156:D158)</f>
        <v>68491.94</v>
      </c>
    </row>
    <row r="160" spans="1:4" s="894" customFormat="1" x14ac:dyDescent="0.35">
      <c r="B160" s="853"/>
      <c r="D160" s="916"/>
    </row>
    <row r="161" spans="1:4" x14ac:dyDescent="0.35">
      <c r="A161" s="642" t="s">
        <v>737</v>
      </c>
      <c r="B161" s="854">
        <v>44834</v>
      </c>
      <c r="C161" s="642" t="s">
        <v>707</v>
      </c>
      <c r="D161" s="1013">
        <v>29244</v>
      </c>
    </row>
    <row r="162" spans="1:4" x14ac:dyDescent="0.35">
      <c r="A162" s="642" t="s">
        <v>737</v>
      </c>
      <c r="B162" s="854">
        <v>44834</v>
      </c>
      <c r="C162" s="642" t="s">
        <v>712</v>
      </c>
      <c r="D162" s="1013">
        <v>457.5</v>
      </c>
    </row>
    <row r="163" spans="1:4" x14ac:dyDescent="0.35">
      <c r="A163" s="642" t="s">
        <v>737</v>
      </c>
      <c r="B163" s="854">
        <v>44834</v>
      </c>
      <c r="C163" s="642" t="s">
        <v>714</v>
      </c>
      <c r="D163" s="1013">
        <v>13000.5</v>
      </c>
    </row>
    <row r="164" spans="1:4" x14ac:dyDescent="0.35">
      <c r="A164" s="642" t="s">
        <v>737</v>
      </c>
      <c r="B164" s="854">
        <v>44834</v>
      </c>
      <c r="C164" s="642" t="s">
        <v>713</v>
      </c>
      <c r="D164" s="1013">
        <v>10.5</v>
      </c>
    </row>
    <row r="165" spans="1:4" s="683" customFormat="1" x14ac:dyDescent="0.35">
      <c r="A165" s="1018" t="s">
        <v>769</v>
      </c>
      <c r="B165" s="1019"/>
      <c r="C165" s="1018"/>
      <c r="D165" s="1020">
        <f>SUM(D161:D164)</f>
        <v>42712.5</v>
      </c>
    </row>
    <row r="166" spans="1:4" s="894" customFormat="1" x14ac:dyDescent="0.35">
      <c r="B166" s="853"/>
      <c r="D166" s="916"/>
    </row>
    <row r="167" spans="1:4" x14ac:dyDescent="0.35">
      <c r="A167" s="642" t="s">
        <v>738</v>
      </c>
      <c r="B167" s="854">
        <v>44834</v>
      </c>
      <c r="C167" s="642" t="s">
        <v>707</v>
      </c>
      <c r="D167" s="1013">
        <v>8976</v>
      </c>
    </row>
    <row r="168" spans="1:4" x14ac:dyDescent="0.35">
      <c r="A168" s="642" t="s">
        <v>738</v>
      </c>
      <c r="B168" s="854">
        <v>44834</v>
      </c>
      <c r="C168" s="642" t="s">
        <v>714</v>
      </c>
      <c r="D168" s="1013">
        <v>5056.5</v>
      </c>
    </row>
    <row r="169" spans="1:4" s="683" customFormat="1" x14ac:dyDescent="0.35">
      <c r="A169" s="1018" t="s">
        <v>769</v>
      </c>
      <c r="B169" s="1019"/>
      <c r="C169" s="1018"/>
      <c r="D169" s="1020">
        <f>SUM(D167:D168)</f>
        <v>14032.5</v>
      </c>
    </row>
    <row r="170" spans="1:4" s="894" customFormat="1" x14ac:dyDescent="0.35">
      <c r="A170" s="642"/>
      <c r="B170" s="854"/>
      <c r="C170" s="642"/>
      <c r="D170" s="1013"/>
    </row>
    <row r="171" spans="1:4" x14ac:dyDescent="0.35">
      <c r="A171" s="642" t="s">
        <v>739</v>
      </c>
      <c r="B171" s="854">
        <v>44834</v>
      </c>
      <c r="C171" s="642" t="s">
        <v>712</v>
      </c>
      <c r="D171" s="1013">
        <v>655</v>
      </c>
    </row>
    <row r="172" spans="1:4" x14ac:dyDescent="0.35">
      <c r="A172" s="642" t="s">
        <v>739</v>
      </c>
      <c r="B172" s="854">
        <v>44834</v>
      </c>
      <c r="C172" s="642" t="s">
        <v>707</v>
      </c>
      <c r="D172" s="1013">
        <v>187238</v>
      </c>
    </row>
    <row r="173" spans="1:4" x14ac:dyDescent="0.35">
      <c r="A173" s="642" t="s">
        <v>739</v>
      </c>
      <c r="B173" s="854">
        <v>44834</v>
      </c>
      <c r="C173" s="642" t="s">
        <v>710</v>
      </c>
      <c r="D173" s="1013">
        <v>129.15</v>
      </c>
    </row>
    <row r="174" spans="1:4" x14ac:dyDescent="0.35">
      <c r="A174" s="642" t="s">
        <v>739</v>
      </c>
      <c r="B174" s="854">
        <v>44834</v>
      </c>
      <c r="C174" s="642" t="s">
        <v>713</v>
      </c>
      <c r="D174" s="1013">
        <v>190.5</v>
      </c>
    </row>
    <row r="175" spans="1:4" x14ac:dyDescent="0.35">
      <c r="A175" s="642" t="s">
        <v>739</v>
      </c>
      <c r="B175" s="854">
        <v>44834</v>
      </c>
      <c r="C175" s="642" t="s">
        <v>709</v>
      </c>
      <c r="D175" s="1013">
        <v>25966.07</v>
      </c>
    </row>
    <row r="176" spans="1:4" x14ac:dyDescent="0.35">
      <c r="A176" s="642" t="s">
        <v>739</v>
      </c>
      <c r="B176" s="854">
        <v>44834</v>
      </c>
      <c r="C176" s="642" t="s">
        <v>714</v>
      </c>
      <c r="D176" s="1013">
        <v>63256.4</v>
      </c>
    </row>
    <row r="177" spans="1:4" s="683" customFormat="1" x14ac:dyDescent="0.35">
      <c r="A177" s="1018" t="s">
        <v>769</v>
      </c>
      <c r="B177" s="1019"/>
      <c r="C177" s="1018"/>
      <c r="D177" s="1020">
        <f>SUM(D171:D176)</f>
        <v>277435.12</v>
      </c>
    </row>
    <row r="178" spans="1:4" s="894" customFormat="1" x14ac:dyDescent="0.35">
      <c r="B178" s="853"/>
      <c r="D178" s="916"/>
    </row>
    <row r="179" spans="1:4" x14ac:dyDescent="0.35">
      <c r="A179" s="642" t="s">
        <v>740</v>
      </c>
      <c r="B179" s="854">
        <v>44834</v>
      </c>
      <c r="C179" s="642" t="s">
        <v>713</v>
      </c>
      <c r="D179" s="1013">
        <v>531</v>
      </c>
    </row>
    <row r="180" spans="1:4" x14ac:dyDescent="0.35">
      <c r="A180" s="642" t="s">
        <v>740</v>
      </c>
      <c r="B180" s="854">
        <v>44834</v>
      </c>
      <c r="C180" s="642" t="s">
        <v>714</v>
      </c>
      <c r="D180" s="1013">
        <v>10084.4</v>
      </c>
    </row>
    <row r="181" spans="1:4" x14ac:dyDescent="0.35">
      <c r="A181" s="642" t="s">
        <v>740</v>
      </c>
      <c r="B181" s="854">
        <v>44834</v>
      </c>
      <c r="C181" s="642" t="s">
        <v>707</v>
      </c>
      <c r="D181" s="1013">
        <v>43508</v>
      </c>
    </row>
    <row r="182" spans="1:4" s="683" customFormat="1" x14ac:dyDescent="0.35">
      <c r="A182" s="1018" t="s">
        <v>769</v>
      </c>
      <c r="B182" s="1019"/>
      <c r="C182" s="1018"/>
      <c r="D182" s="1020">
        <f>SUM(D179:D181)</f>
        <v>54123.4</v>
      </c>
    </row>
    <row r="183" spans="1:4" s="894" customFormat="1" x14ac:dyDescent="0.35">
      <c r="B183" s="853"/>
      <c r="D183" s="916"/>
    </row>
    <row r="184" spans="1:4" x14ac:dyDescent="0.35">
      <c r="A184" s="642" t="s">
        <v>741</v>
      </c>
      <c r="B184" s="854">
        <v>44834</v>
      </c>
      <c r="C184" s="642" t="s">
        <v>714</v>
      </c>
      <c r="D184" s="1013">
        <v>22923.1</v>
      </c>
    </row>
    <row r="185" spans="1:4" x14ac:dyDescent="0.35">
      <c r="A185" s="642" t="s">
        <v>741</v>
      </c>
      <c r="B185" s="854">
        <v>44834</v>
      </c>
      <c r="C185" s="642" t="s">
        <v>712</v>
      </c>
      <c r="D185" s="1013">
        <v>150</v>
      </c>
    </row>
    <row r="186" spans="1:4" x14ac:dyDescent="0.35">
      <c r="A186" s="642" t="s">
        <v>741</v>
      </c>
      <c r="B186" s="854">
        <v>44834</v>
      </c>
      <c r="C186" s="642" t="s">
        <v>709</v>
      </c>
      <c r="D186" s="1013">
        <v>121258.02</v>
      </c>
    </row>
    <row r="187" spans="1:4" x14ac:dyDescent="0.35">
      <c r="A187" s="642" t="s">
        <v>741</v>
      </c>
      <c r="B187" s="854">
        <v>44834</v>
      </c>
      <c r="C187" s="642" t="s">
        <v>713</v>
      </c>
      <c r="D187" s="1013">
        <v>108.5</v>
      </c>
    </row>
    <row r="188" spans="1:4" x14ac:dyDescent="0.35">
      <c r="A188" s="642" t="s">
        <v>741</v>
      </c>
      <c r="B188" s="854">
        <v>44834</v>
      </c>
      <c r="C188" s="642" t="s">
        <v>710</v>
      </c>
      <c r="D188" s="1013">
        <v>64103.61</v>
      </c>
    </row>
    <row r="189" spans="1:4" s="683" customFormat="1" x14ac:dyDescent="0.35">
      <c r="A189" s="1018" t="s">
        <v>769</v>
      </c>
      <c r="B189" s="1019"/>
      <c r="C189" s="1018"/>
      <c r="D189" s="1020">
        <f>SUM(D184:D188)</f>
        <v>208543.22999999998</v>
      </c>
    </row>
    <row r="190" spans="1:4" s="894" customFormat="1" x14ac:dyDescent="0.35">
      <c r="B190" s="853"/>
      <c r="D190" s="916"/>
    </row>
    <row r="191" spans="1:4" x14ac:dyDescent="0.35">
      <c r="A191" s="642" t="s">
        <v>742</v>
      </c>
      <c r="B191" s="854">
        <v>44834</v>
      </c>
      <c r="C191" s="642" t="s">
        <v>707</v>
      </c>
      <c r="D191" s="1013">
        <v>860316</v>
      </c>
    </row>
    <row r="192" spans="1:4" x14ac:dyDescent="0.35">
      <c r="A192" s="642" t="s">
        <v>742</v>
      </c>
      <c r="B192" s="854">
        <v>44834</v>
      </c>
      <c r="C192" s="642" t="s">
        <v>709</v>
      </c>
      <c r="D192" s="1013">
        <v>13271.28</v>
      </c>
    </row>
    <row r="193" spans="1:4" x14ac:dyDescent="0.35">
      <c r="A193" s="642" t="s">
        <v>742</v>
      </c>
      <c r="B193" s="854">
        <v>44834</v>
      </c>
      <c r="C193" s="642" t="s">
        <v>713</v>
      </c>
      <c r="D193" s="1013">
        <v>5325</v>
      </c>
    </row>
    <row r="194" spans="1:4" x14ac:dyDescent="0.35">
      <c r="A194" s="642" t="s">
        <v>742</v>
      </c>
      <c r="B194" s="854">
        <v>44834</v>
      </c>
      <c r="C194" s="642" t="s">
        <v>712</v>
      </c>
      <c r="D194" s="1013">
        <v>1294.4000000000001</v>
      </c>
    </row>
    <row r="195" spans="1:4" x14ac:dyDescent="0.35">
      <c r="A195" s="642" t="s">
        <v>742</v>
      </c>
      <c r="B195" s="854">
        <v>44834</v>
      </c>
      <c r="C195" s="642" t="s">
        <v>714</v>
      </c>
      <c r="D195" s="1013">
        <v>220090.7</v>
      </c>
    </row>
    <row r="196" spans="1:4" s="683" customFormat="1" x14ac:dyDescent="0.35">
      <c r="A196" s="1018" t="s">
        <v>769</v>
      </c>
      <c r="B196" s="1019"/>
      <c r="C196" s="1018"/>
      <c r="D196" s="1020">
        <f>SUM(D191:D195)</f>
        <v>1100297.3800000001</v>
      </c>
    </row>
    <row r="197" spans="1:4" s="894" customFormat="1" x14ac:dyDescent="0.35">
      <c r="B197" s="853"/>
      <c r="D197" s="916"/>
    </row>
    <row r="198" spans="1:4" x14ac:dyDescent="0.35">
      <c r="A198" s="642" t="s">
        <v>743</v>
      </c>
      <c r="B198" s="854">
        <v>44834</v>
      </c>
      <c r="C198" s="642" t="s">
        <v>714</v>
      </c>
      <c r="D198" s="1013">
        <v>169006.8</v>
      </c>
    </row>
    <row r="199" spans="1:4" x14ac:dyDescent="0.35">
      <c r="A199" s="642" t="s">
        <v>743</v>
      </c>
      <c r="B199" s="854">
        <v>44834</v>
      </c>
      <c r="C199" s="642" t="s">
        <v>707</v>
      </c>
      <c r="D199" s="1013">
        <v>377947</v>
      </c>
    </row>
    <row r="200" spans="1:4" x14ac:dyDescent="0.35">
      <c r="A200" s="642" t="s">
        <v>743</v>
      </c>
      <c r="B200" s="854">
        <v>44834</v>
      </c>
      <c r="C200" s="642" t="s">
        <v>709</v>
      </c>
      <c r="D200" s="1013">
        <v>19528.02</v>
      </c>
    </row>
    <row r="201" spans="1:4" x14ac:dyDescent="0.35">
      <c r="A201" s="642" t="s">
        <v>743</v>
      </c>
      <c r="B201" s="854">
        <v>44834</v>
      </c>
      <c r="C201" s="642" t="s">
        <v>713</v>
      </c>
      <c r="D201" s="1013">
        <v>23553</v>
      </c>
    </row>
    <row r="202" spans="1:4" s="683" customFormat="1" x14ac:dyDescent="0.35">
      <c r="A202" s="1018" t="s">
        <v>769</v>
      </c>
      <c r="B202" s="1019"/>
      <c r="C202" s="1018"/>
      <c r="D202" s="1020">
        <f>SUM(D198:D201)</f>
        <v>590034.82000000007</v>
      </c>
    </row>
    <row r="203" spans="1:4" s="894" customFormat="1" x14ac:dyDescent="0.35">
      <c r="B203" s="853"/>
      <c r="D203" s="916"/>
    </row>
    <row r="204" spans="1:4" x14ac:dyDescent="0.35">
      <c r="A204" s="642" t="s">
        <v>526</v>
      </c>
      <c r="B204" s="854">
        <v>44834</v>
      </c>
      <c r="C204" s="642" t="s">
        <v>707</v>
      </c>
      <c r="D204" s="1013">
        <v>1435308</v>
      </c>
    </row>
    <row r="205" spans="1:4" x14ac:dyDescent="0.35">
      <c r="A205" s="642" t="s">
        <v>526</v>
      </c>
      <c r="B205" s="854">
        <v>44834</v>
      </c>
      <c r="C205" s="642" t="s">
        <v>713</v>
      </c>
      <c r="D205" s="1013">
        <v>1947.7</v>
      </c>
    </row>
    <row r="206" spans="1:4" x14ac:dyDescent="0.35">
      <c r="A206" s="642" t="s">
        <v>526</v>
      </c>
      <c r="B206" s="854">
        <v>44834</v>
      </c>
      <c r="C206" s="642" t="s">
        <v>712</v>
      </c>
      <c r="D206" s="1013">
        <v>437.5</v>
      </c>
    </row>
    <row r="207" spans="1:4" x14ac:dyDescent="0.35">
      <c r="A207" s="642" t="s">
        <v>526</v>
      </c>
      <c r="B207" s="854">
        <v>44834</v>
      </c>
      <c r="C207" s="642" t="s">
        <v>714</v>
      </c>
      <c r="D207" s="1013">
        <v>317068.7</v>
      </c>
    </row>
    <row r="208" spans="1:4" s="683" customFormat="1" x14ac:dyDescent="0.35">
      <c r="A208" s="1018" t="s">
        <v>769</v>
      </c>
      <c r="B208" s="1019"/>
      <c r="C208" s="1018"/>
      <c r="D208" s="1020">
        <f>SUM(D204:D207)</f>
        <v>1754761.9</v>
      </c>
    </row>
    <row r="209" spans="1:4" s="894" customFormat="1" x14ac:dyDescent="0.35">
      <c r="B209" s="853"/>
      <c r="D209" s="916"/>
    </row>
    <row r="210" spans="1:4" x14ac:dyDescent="0.35">
      <c r="A210" s="642" t="s">
        <v>744</v>
      </c>
      <c r="B210" s="854">
        <v>44834</v>
      </c>
      <c r="C210" s="642" t="s">
        <v>707</v>
      </c>
      <c r="D210" s="1013">
        <v>29799</v>
      </c>
    </row>
    <row r="211" spans="1:4" x14ac:dyDescent="0.35">
      <c r="A211" s="642" t="s">
        <v>744</v>
      </c>
      <c r="B211" s="854">
        <v>44834</v>
      </c>
      <c r="C211" s="642" t="s">
        <v>712</v>
      </c>
      <c r="D211" s="1013">
        <v>1297.5</v>
      </c>
    </row>
    <row r="212" spans="1:4" x14ac:dyDescent="0.35">
      <c r="A212" s="642" t="s">
        <v>744</v>
      </c>
      <c r="B212" s="854">
        <v>44834</v>
      </c>
      <c r="C212" s="642" t="s">
        <v>714</v>
      </c>
      <c r="D212" s="1013">
        <v>69311.8</v>
      </c>
    </row>
    <row r="213" spans="1:4" x14ac:dyDescent="0.35">
      <c r="A213" s="642" t="s">
        <v>744</v>
      </c>
      <c r="B213" s="854">
        <v>44834</v>
      </c>
      <c r="C213" s="642" t="s">
        <v>709</v>
      </c>
      <c r="D213" s="1013">
        <v>157546.21</v>
      </c>
    </row>
    <row r="214" spans="1:4" x14ac:dyDescent="0.35">
      <c r="A214" s="642" t="s">
        <v>744</v>
      </c>
      <c r="B214" s="854">
        <v>44834</v>
      </c>
      <c r="C214" s="642" t="s">
        <v>713</v>
      </c>
      <c r="D214" s="1013">
        <v>3167</v>
      </c>
    </row>
    <row r="215" spans="1:4" s="683" customFormat="1" x14ac:dyDescent="0.35">
      <c r="A215" s="1018" t="s">
        <v>769</v>
      </c>
      <c r="B215" s="1019"/>
      <c r="C215" s="1018"/>
      <c r="D215" s="1020">
        <f>SUM(D209:D214)</f>
        <v>261121.51</v>
      </c>
    </row>
    <row r="216" spans="1:4" s="894" customFormat="1" x14ac:dyDescent="0.35">
      <c r="B216" s="853"/>
      <c r="D216" s="916"/>
    </row>
    <row r="217" spans="1:4" x14ac:dyDescent="0.35">
      <c r="A217" s="642" t="s">
        <v>745</v>
      </c>
      <c r="B217" s="854">
        <v>44834</v>
      </c>
      <c r="C217" s="642" t="s">
        <v>707</v>
      </c>
      <c r="D217" s="1013">
        <v>261181</v>
      </c>
    </row>
    <row r="218" spans="1:4" x14ac:dyDescent="0.35">
      <c r="A218" s="642" t="s">
        <v>745</v>
      </c>
      <c r="B218" s="854">
        <v>44834</v>
      </c>
      <c r="C218" s="642" t="s">
        <v>713</v>
      </c>
      <c r="D218" s="1013">
        <v>5911</v>
      </c>
    </row>
    <row r="219" spans="1:4" x14ac:dyDescent="0.35">
      <c r="A219" s="642" t="s">
        <v>745</v>
      </c>
      <c r="B219" s="854">
        <v>44834</v>
      </c>
      <c r="C219" s="642" t="s">
        <v>709</v>
      </c>
      <c r="D219" s="1013">
        <v>50064.99</v>
      </c>
    </row>
    <row r="220" spans="1:4" x14ac:dyDescent="0.35">
      <c r="A220" s="642" t="s">
        <v>745</v>
      </c>
      <c r="B220" s="854">
        <v>44834</v>
      </c>
      <c r="C220" s="642" t="s">
        <v>714</v>
      </c>
      <c r="D220" s="1013">
        <v>131521.5</v>
      </c>
    </row>
    <row r="221" spans="1:4" x14ac:dyDescent="0.35">
      <c r="A221" s="642" t="s">
        <v>745</v>
      </c>
      <c r="B221" s="854">
        <v>44834</v>
      </c>
      <c r="C221" s="642" t="s">
        <v>712</v>
      </c>
      <c r="D221" s="1013">
        <v>347.5</v>
      </c>
    </row>
    <row r="222" spans="1:4" s="683" customFormat="1" x14ac:dyDescent="0.35">
      <c r="A222" s="1018" t="s">
        <v>769</v>
      </c>
      <c r="B222" s="1019"/>
      <c r="C222" s="1018"/>
      <c r="D222" s="1020">
        <f>SUM(D217:D221)</f>
        <v>449025.99</v>
      </c>
    </row>
    <row r="223" spans="1:4" s="894" customFormat="1" x14ac:dyDescent="0.35">
      <c r="B223" s="853"/>
      <c r="D223" s="916"/>
    </row>
    <row r="224" spans="1:4" x14ac:dyDescent="0.35">
      <c r="A224" s="642" t="s">
        <v>746</v>
      </c>
      <c r="B224" s="854">
        <v>44834</v>
      </c>
      <c r="C224" s="642" t="s">
        <v>709</v>
      </c>
      <c r="D224" s="1013">
        <v>12914.19</v>
      </c>
    </row>
    <row r="225" spans="1:4" x14ac:dyDescent="0.35">
      <c r="A225" s="642" t="s">
        <v>746</v>
      </c>
      <c r="B225" s="854">
        <v>44834</v>
      </c>
      <c r="C225" s="642" t="s">
        <v>714</v>
      </c>
      <c r="D225" s="1013">
        <v>4702.8</v>
      </c>
    </row>
    <row r="226" spans="1:4" x14ac:dyDescent="0.35">
      <c r="A226" s="642" t="s">
        <v>746</v>
      </c>
      <c r="B226" s="854">
        <v>44834</v>
      </c>
      <c r="C226" s="642" t="s">
        <v>707</v>
      </c>
      <c r="D226" s="1013">
        <v>44415</v>
      </c>
    </row>
    <row r="227" spans="1:4" s="683" customFormat="1" x14ac:dyDescent="0.35">
      <c r="A227" s="1018" t="s">
        <v>769</v>
      </c>
      <c r="B227" s="1019"/>
      <c r="C227" s="1018"/>
      <c r="D227" s="1020">
        <f>SUM(D224:D226)</f>
        <v>62031.990000000005</v>
      </c>
    </row>
    <row r="228" spans="1:4" s="894" customFormat="1" x14ac:dyDescent="0.35">
      <c r="B228" s="853"/>
      <c r="D228" s="916"/>
    </row>
    <row r="229" spans="1:4" x14ac:dyDescent="0.35">
      <c r="A229" s="642" t="s">
        <v>748</v>
      </c>
      <c r="B229" s="854">
        <v>44834</v>
      </c>
      <c r="C229" s="642" t="s">
        <v>712</v>
      </c>
      <c r="D229" s="1013">
        <v>290</v>
      </c>
    </row>
    <row r="230" spans="1:4" x14ac:dyDescent="0.35">
      <c r="A230" s="642" t="s">
        <v>748</v>
      </c>
      <c r="B230" s="854">
        <v>44834</v>
      </c>
      <c r="C230" s="642" t="s">
        <v>713</v>
      </c>
      <c r="D230" s="1013">
        <v>688.5</v>
      </c>
    </row>
    <row r="231" spans="1:4" x14ac:dyDescent="0.35">
      <c r="A231" s="642" t="s">
        <v>748</v>
      </c>
      <c r="B231" s="854">
        <v>44834</v>
      </c>
      <c r="C231" s="642" t="s">
        <v>709</v>
      </c>
      <c r="D231" s="1013">
        <v>28658.36</v>
      </c>
    </row>
    <row r="232" spans="1:4" x14ac:dyDescent="0.35">
      <c r="A232" s="642" t="s">
        <v>748</v>
      </c>
      <c r="B232" s="854">
        <v>44834</v>
      </c>
      <c r="C232" s="642" t="s">
        <v>714</v>
      </c>
      <c r="D232" s="1013">
        <v>11754.3</v>
      </c>
    </row>
    <row r="233" spans="1:4" s="683" customFormat="1" x14ac:dyDescent="0.35">
      <c r="A233" s="1018" t="s">
        <v>769</v>
      </c>
      <c r="B233" s="1019"/>
      <c r="C233" s="1018"/>
      <c r="D233" s="1020">
        <f>SUM(D229:D232)</f>
        <v>41391.160000000003</v>
      </c>
    </row>
    <row r="234" spans="1:4" s="894" customFormat="1" x14ac:dyDescent="0.35">
      <c r="B234" s="853"/>
      <c r="D234" s="916"/>
    </row>
    <row r="235" spans="1:4" x14ac:dyDescent="0.35">
      <c r="A235" s="642" t="s">
        <v>749</v>
      </c>
      <c r="B235" s="854">
        <v>44834</v>
      </c>
      <c r="C235" s="642" t="s">
        <v>713</v>
      </c>
      <c r="D235" s="1013">
        <v>3034.5</v>
      </c>
    </row>
    <row r="236" spans="1:4" x14ac:dyDescent="0.35">
      <c r="A236" s="642" t="s">
        <v>749</v>
      </c>
      <c r="B236" s="854">
        <v>44834</v>
      </c>
      <c r="C236" s="642" t="s">
        <v>709</v>
      </c>
      <c r="D236" s="1013">
        <v>155726.01999999999</v>
      </c>
    </row>
    <row r="237" spans="1:4" x14ac:dyDescent="0.35">
      <c r="A237" s="642" t="s">
        <v>749</v>
      </c>
      <c r="B237" s="854">
        <v>44834</v>
      </c>
      <c r="C237" s="642" t="s">
        <v>714</v>
      </c>
      <c r="D237" s="1013">
        <v>37974.300000000003</v>
      </c>
    </row>
    <row r="238" spans="1:4" x14ac:dyDescent="0.35">
      <c r="A238" s="642" t="s">
        <v>749</v>
      </c>
      <c r="B238" s="854">
        <v>44834</v>
      </c>
      <c r="C238" s="642" t="s">
        <v>712</v>
      </c>
      <c r="D238" s="1013">
        <v>150</v>
      </c>
    </row>
    <row r="239" spans="1:4" x14ac:dyDescent="0.35">
      <c r="A239" s="642" t="s">
        <v>749</v>
      </c>
      <c r="B239" s="854">
        <v>44834</v>
      </c>
      <c r="C239" s="642" t="s">
        <v>707</v>
      </c>
      <c r="D239" s="1013">
        <v>20316</v>
      </c>
    </row>
    <row r="240" spans="1:4" s="683" customFormat="1" x14ac:dyDescent="0.35">
      <c r="A240" s="1018" t="s">
        <v>769</v>
      </c>
      <c r="B240" s="1019"/>
      <c r="C240" s="1018"/>
      <c r="D240" s="1020">
        <f>SUM(D235:D239)</f>
        <v>217200.82</v>
      </c>
    </row>
    <row r="241" spans="1:4" s="894" customFormat="1" x14ac:dyDescent="0.35">
      <c r="B241" s="853"/>
      <c r="D241" s="916"/>
    </row>
    <row r="242" spans="1:4" x14ac:dyDescent="0.35">
      <c r="A242" s="642" t="s">
        <v>750</v>
      </c>
      <c r="B242" s="854">
        <v>44834</v>
      </c>
      <c r="C242" s="642" t="s">
        <v>709</v>
      </c>
      <c r="D242" s="1013">
        <v>145029.12</v>
      </c>
    </row>
    <row r="243" spans="1:4" x14ac:dyDescent="0.35">
      <c r="A243" s="642" t="s">
        <v>750</v>
      </c>
      <c r="B243" s="854">
        <v>44834</v>
      </c>
      <c r="C243" s="642" t="s">
        <v>713</v>
      </c>
      <c r="D243" s="1013">
        <v>4564</v>
      </c>
    </row>
    <row r="244" spans="1:4" x14ac:dyDescent="0.35">
      <c r="A244" s="642" t="s">
        <v>750</v>
      </c>
      <c r="B244" s="854">
        <v>44834</v>
      </c>
      <c r="C244" s="642" t="s">
        <v>712</v>
      </c>
      <c r="D244" s="1013">
        <v>1307.5999999999999</v>
      </c>
    </row>
    <row r="245" spans="1:4" x14ac:dyDescent="0.35">
      <c r="A245" s="642" t="s">
        <v>750</v>
      </c>
      <c r="B245" s="854">
        <v>44834</v>
      </c>
      <c r="C245" s="642" t="s">
        <v>707</v>
      </c>
      <c r="D245" s="1013">
        <v>583294</v>
      </c>
    </row>
    <row r="246" spans="1:4" x14ac:dyDescent="0.35">
      <c r="A246" s="642" t="s">
        <v>750</v>
      </c>
      <c r="B246" s="854">
        <v>44834</v>
      </c>
      <c r="C246" s="642" t="s">
        <v>714</v>
      </c>
      <c r="D246" s="1013">
        <v>352662.6</v>
      </c>
    </row>
    <row r="247" spans="1:4" s="683" customFormat="1" x14ac:dyDescent="0.35">
      <c r="A247" s="1018" t="s">
        <v>769</v>
      </c>
      <c r="B247" s="1019"/>
      <c r="C247" s="1018"/>
      <c r="D247" s="1020">
        <f>SUM(D242:D246)</f>
        <v>1086857.3199999998</v>
      </c>
    </row>
    <row r="248" spans="1:4" s="894" customFormat="1" x14ac:dyDescent="0.35">
      <c r="B248" s="853"/>
      <c r="D248" s="916"/>
    </row>
    <row r="249" spans="1:4" x14ac:dyDescent="0.35">
      <c r="A249" s="642" t="s">
        <v>751</v>
      </c>
      <c r="B249" s="854">
        <v>44834</v>
      </c>
      <c r="C249" s="642" t="s">
        <v>707</v>
      </c>
      <c r="D249" s="1013">
        <v>843908</v>
      </c>
    </row>
    <row r="250" spans="1:4" x14ac:dyDescent="0.35">
      <c r="A250" s="642" t="s">
        <v>751</v>
      </c>
      <c r="B250" s="854">
        <v>44834</v>
      </c>
      <c r="C250" s="642" t="s">
        <v>714</v>
      </c>
      <c r="D250" s="1013">
        <v>305688.40000000002</v>
      </c>
    </row>
    <row r="251" spans="1:4" x14ac:dyDescent="0.35">
      <c r="A251" s="642" t="s">
        <v>751</v>
      </c>
      <c r="B251" s="854">
        <v>44834</v>
      </c>
      <c r="C251" s="642" t="s">
        <v>709</v>
      </c>
      <c r="D251" s="1013">
        <v>31635.73</v>
      </c>
    </row>
    <row r="252" spans="1:4" x14ac:dyDescent="0.35">
      <c r="A252" s="642" t="s">
        <v>751</v>
      </c>
      <c r="B252" s="854">
        <v>44834</v>
      </c>
      <c r="C252" s="642" t="s">
        <v>713</v>
      </c>
      <c r="D252" s="1013">
        <v>9624.9</v>
      </c>
    </row>
    <row r="253" spans="1:4" x14ac:dyDescent="0.35">
      <c r="A253" s="642" t="s">
        <v>751</v>
      </c>
      <c r="B253" s="854">
        <v>44834</v>
      </c>
      <c r="C253" s="642" t="s">
        <v>712</v>
      </c>
      <c r="D253" s="1013">
        <v>430</v>
      </c>
    </row>
    <row r="254" spans="1:4" s="683" customFormat="1" x14ac:dyDescent="0.35">
      <c r="A254" s="1018" t="s">
        <v>769</v>
      </c>
      <c r="B254" s="1019"/>
      <c r="C254" s="1018"/>
      <c r="D254" s="1020">
        <f>SUM(D249:D253)</f>
        <v>1191287.0299999998</v>
      </c>
    </row>
    <row r="255" spans="1:4" s="894" customFormat="1" x14ac:dyDescent="0.35">
      <c r="B255" s="853"/>
      <c r="D255" s="916"/>
    </row>
    <row r="256" spans="1:4" x14ac:dyDescent="0.35">
      <c r="A256" s="642" t="s">
        <v>752</v>
      </c>
      <c r="B256" s="854">
        <v>44834</v>
      </c>
      <c r="C256" s="642" t="s">
        <v>714</v>
      </c>
      <c r="D256" s="1013">
        <v>7981.9</v>
      </c>
    </row>
    <row r="257" spans="1:4" x14ac:dyDescent="0.35">
      <c r="A257" s="642" t="s">
        <v>752</v>
      </c>
      <c r="B257" s="854">
        <v>44834</v>
      </c>
      <c r="C257" s="642" t="s">
        <v>709</v>
      </c>
      <c r="D257" s="1013">
        <v>20934.36</v>
      </c>
    </row>
    <row r="258" spans="1:4" s="683" customFormat="1" x14ac:dyDescent="0.35">
      <c r="A258" s="1018" t="s">
        <v>769</v>
      </c>
      <c r="B258" s="1019"/>
      <c r="C258" s="1018"/>
      <c r="D258" s="1020">
        <f>SUM(D256:D257)</f>
        <v>28916.260000000002</v>
      </c>
    </row>
    <row r="259" spans="1:4" s="894" customFormat="1" x14ac:dyDescent="0.35">
      <c r="B259" s="853"/>
      <c r="D259" s="916"/>
    </row>
    <row r="260" spans="1:4" x14ac:dyDescent="0.35">
      <c r="A260" s="642" t="s">
        <v>753</v>
      </c>
      <c r="B260" s="854">
        <v>44834</v>
      </c>
      <c r="C260" s="642" t="s">
        <v>707</v>
      </c>
      <c r="D260" s="1013">
        <v>210769</v>
      </c>
    </row>
    <row r="261" spans="1:4" x14ac:dyDescent="0.35">
      <c r="A261" s="642" t="s">
        <v>753</v>
      </c>
      <c r="B261" s="854">
        <v>44834</v>
      </c>
      <c r="C261" s="642" t="s">
        <v>713</v>
      </c>
      <c r="D261" s="1013">
        <v>4214.7</v>
      </c>
    </row>
    <row r="262" spans="1:4" x14ac:dyDescent="0.35">
      <c r="A262" s="642" t="s">
        <v>753</v>
      </c>
      <c r="B262" s="854">
        <v>44834</v>
      </c>
      <c r="C262" s="642" t="s">
        <v>714</v>
      </c>
      <c r="D262" s="1013">
        <v>83682.7</v>
      </c>
    </row>
    <row r="263" spans="1:4" s="683" customFormat="1" x14ac:dyDescent="0.35">
      <c r="A263" s="1018" t="s">
        <v>769</v>
      </c>
      <c r="B263" s="1019"/>
      <c r="C263" s="1018"/>
      <c r="D263" s="1020">
        <f>SUM(D260:D262)</f>
        <v>298666.40000000002</v>
      </c>
    </row>
    <row r="264" spans="1:4" s="894" customFormat="1" x14ac:dyDescent="0.35">
      <c r="B264" s="853"/>
      <c r="D264" s="916"/>
    </row>
    <row r="265" spans="1:4" x14ac:dyDescent="0.35">
      <c r="A265" s="642" t="s">
        <v>754</v>
      </c>
      <c r="B265" s="854">
        <v>44834</v>
      </c>
      <c r="C265" s="642" t="s">
        <v>713</v>
      </c>
      <c r="D265" s="1013">
        <v>14834.5</v>
      </c>
    </row>
    <row r="266" spans="1:4" x14ac:dyDescent="0.35">
      <c r="A266" s="642" t="s">
        <v>754</v>
      </c>
      <c r="B266" s="854">
        <v>44834</v>
      </c>
      <c r="C266" s="642" t="s">
        <v>709</v>
      </c>
      <c r="D266" s="1013">
        <v>2662841.4300000002</v>
      </c>
    </row>
    <row r="267" spans="1:4" x14ac:dyDescent="0.35">
      <c r="A267" s="642" t="s">
        <v>754</v>
      </c>
      <c r="B267" s="854">
        <v>44834</v>
      </c>
      <c r="C267" s="642" t="s">
        <v>712</v>
      </c>
      <c r="D267" s="1013">
        <v>4085.4</v>
      </c>
    </row>
    <row r="268" spans="1:4" x14ac:dyDescent="0.35">
      <c r="A268" s="642" t="s">
        <v>754</v>
      </c>
      <c r="B268" s="854">
        <v>44834</v>
      </c>
      <c r="C268" s="642" t="s">
        <v>722</v>
      </c>
      <c r="D268" s="1013">
        <v>-26892.17</v>
      </c>
    </row>
    <row r="269" spans="1:4" x14ac:dyDescent="0.35">
      <c r="A269" s="642" t="s">
        <v>754</v>
      </c>
      <c r="B269" s="854">
        <v>44834</v>
      </c>
      <c r="C269" s="642" t="s">
        <v>714</v>
      </c>
      <c r="D269" s="1013">
        <v>920279.5</v>
      </c>
    </row>
    <row r="270" spans="1:4" x14ac:dyDescent="0.35">
      <c r="A270" s="642" t="s">
        <v>754</v>
      </c>
      <c r="B270" s="854">
        <v>44834</v>
      </c>
      <c r="C270" s="642" t="s">
        <v>718</v>
      </c>
      <c r="D270" s="1013">
        <v>-28769</v>
      </c>
    </row>
    <row r="271" spans="1:4" x14ac:dyDescent="0.35">
      <c r="A271" s="642" t="s">
        <v>754</v>
      </c>
      <c r="B271" s="854">
        <v>44834</v>
      </c>
      <c r="C271" s="642" t="s">
        <v>719</v>
      </c>
      <c r="D271" s="1013">
        <v>15067.52</v>
      </c>
    </row>
    <row r="272" spans="1:4" x14ac:dyDescent="0.35">
      <c r="A272" s="642" t="s">
        <v>754</v>
      </c>
      <c r="B272" s="854">
        <v>44834</v>
      </c>
      <c r="C272" s="642" t="s">
        <v>707</v>
      </c>
      <c r="D272" s="1013">
        <v>3058904</v>
      </c>
    </row>
    <row r="273" spans="1:4" s="683" customFormat="1" x14ac:dyDescent="0.35">
      <c r="A273" s="1018" t="s">
        <v>769</v>
      </c>
      <c r="B273" s="1019"/>
      <c r="C273" s="1018"/>
      <c r="D273" s="1020">
        <f>SUM(D265:D272)</f>
        <v>6620351.1799999997</v>
      </c>
    </row>
    <row r="274" spans="1:4" s="894" customFormat="1" x14ac:dyDescent="0.35">
      <c r="B274" s="853"/>
      <c r="D274" s="916"/>
    </row>
    <row r="275" spans="1:4" x14ac:dyDescent="0.35">
      <c r="A275" s="642" t="s">
        <v>755</v>
      </c>
      <c r="B275" s="854">
        <v>44834</v>
      </c>
      <c r="C275" s="642" t="s">
        <v>709</v>
      </c>
      <c r="D275" s="1013">
        <v>39427.22</v>
      </c>
    </row>
    <row r="276" spans="1:4" x14ac:dyDescent="0.35">
      <c r="A276" s="642" t="s">
        <v>755</v>
      </c>
      <c r="B276" s="854">
        <v>44834</v>
      </c>
      <c r="C276" s="642" t="s">
        <v>714</v>
      </c>
      <c r="D276" s="1013">
        <v>531791.5</v>
      </c>
    </row>
    <row r="277" spans="1:4" x14ac:dyDescent="0.35">
      <c r="A277" s="642" t="s">
        <v>755</v>
      </c>
      <c r="B277" s="854">
        <v>44834</v>
      </c>
      <c r="C277" s="642" t="s">
        <v>712</v>
      </c>
      <c r="D277" s="1013">
        <v>540.6</v>
      </c>
    </row>
    <row r="278" spans="1:4" x14ac:dyDescent="0.35">
      <c r="A278" s="642" t="s">
        <v>755</v>
      </c>
      <c r="B278" s="854">
        <v>44834</v>
      </c>
      <c r="C278" s="642" t="s">
        <v>713</v>
      </c>
      <c r="D278" s="1013">
        <v>18043.599999999999</v>
      </c>
    </row>
    <row r="279" spans="1:4" x14ac:dyDescent="0.35">
      <c r="A279" s="642" t="s">
        <v>755</v>
      </c>
      <c r="B279" s="854">
        <v>44834</v>
      </c>
      <c r="C279" s="642" t="s">
        <v>707</v>
      </c>
      <c r="D279" s="1013">
        <v>2142946</v>
      </c>
    </row>
    <row r="280" spans="1:4" s="683" customFormat="1" x14ac:dyDescent="0.35">
      <c r="A280" s="1018" t="s">
        <v>769</v>
      </c>
      <c r="B280" s="1019"/>
      <c r="C280" s="1018"/>
      <c r="D280" s="1020">
        <f>SUM(D275:D279)</f>
        <v>2732748.92</v>
      </c>
    </row>
    <row r="281" spans="1:4" s="894" customFormat="1" x14ac:dyDescent="0.35">
      <c r="B281" s="853"/>
      <c r="D281" s="916"/>
    </row>
    <row r="282" spans="1:4" x14ac:dyDescent="0.35">
      <c r="A282" s="642" t="s">
        <v>757</v>
      </c>
      <c r="B282" s="854">
        <v>44834</v>
      </c>
      <c r="C282" s="642" t="s">
        <v>714</v>
      </c>
      <c r="D282" s="1013">
        <v>23942.5</v>
      </c>
    </row>
    <row r="283" spans="1:4" x14ac:dyDescent="0.35">
      <c r="A283" s="642" t="s">
        <v>757</v>
      </c>
      <c r="B283" s="854">
        <v>44834</v>
      </c>
      <c r="C283" s="642" t="s">
        <v>713</v>
      </c>
      <c r="D283" s="1013">
        <v>947.5</v>
      </c>
    </row>
    <row r="284" spans="1:4" x14ac:dyDescent="0.35">
      <c r="A284" s="642" t="s">
        <v>757</v>
      </c>
      <c r="B284" s="854">
        <v>44834</v>
      </c>
      <c r="C284" s="642" t="s">
        <v>719</v>
      </c>
      <c r="D284" s="1013">
        <v>15616.84</v>
      </c>
    </row>
    <row r="285" spans="1:4" x14ac:dyDescent="0.35">
      <c r="A285" s="642" t="s">
        <v>757</v>
      </c>
      <c r="B285" s="854">
        <v>44834</v>
      </c>
      <c r="C285" s="642" t="s">
        <v>707</v>
      </c>
      <c r="D285" s="1013">
        <v>98150</v>
      </c>
    </row>
    <row r="286" spans="1:4" s="683" customFormat="1" x14ac:dyDescent="0.35">
      <c r="A286" s="1018" t="s">
        <v>769</v>
      </c>
      <c r="B286" s="1019"/>
      <c r="C286" s="1018"/>
      <c r="D286" s="1020">
        <f>SUM(D282:D285)</f>
        <v>138656.84</v>
      </c>
    </row>
    <row r="287" spans="1:4" s="894" customFormat="1" x14ac:dyDescent="0.35">
      <c r="B287" s="853"/>
      <c r="D287" s="916"/>
    </row>
    <row r="288" spans="1:4" x14ac:dyDescent="0.35">
      <c r="A288" s="642" t="s">
        <v>758</v>
      </c>
      <c r="B288" s="854">
        <v>44834</v>
      </c>
      <c r="C288" s="642" t="s">
        <v>709</v>
      </c>
      <c r="D288" s="1013">
        <v>59853.63</v>
      </c>
    </row>
    <row r="289" spans="1:4" s="683" customFormat="1" x14ac:dyDescent="0.35">
      <c r="A289" s="1018" t="s">
        <v>769</v>
      </c>
      <c r="B289" s="1019"/>
      <c r="C289" s="1018"/>
      <c r="D289" s="1020">
        <f>SUM(D288)</f>
        <v>59853.63</v>
      </c>
    </row>
    <row r="290" spans="1:4" s="894" customFormat="1" x14ac:dyDescent="0.35">
      <c r="B290" s="853"/>
      <c r="D290" s="916"/>
    </row>
    <row r="291" spans="1:4" x14ac:dyDescent="0.35">
      <c r="A291" s="642" t="s">
        <v>759</v>
      </c>
      <c r="B291" s="854">
        <v>44834</v>
      </c>
      <c r="C291" s="642" t="s">
        <v>707</v>
      </c>
      <c r="D291" s="1013">
        <v>4275724</v>
      </c>
    </row>
    <row r="292" spans="1:4" x14ac:dyDescent="0.35">
      <c r="A292" s="642" t="s">
        <v>759</v>
      </c>
      <c r="B292" s="854">
        <v>44834</v>
      </c>
      <c r="C292" s="642" t="s">
        <v>719</v>
      </c>
      <c r="D292" s="1013">
        <v>492796.79</v>
      </c>
    </row>
    <row r="293" spans="1:4" x14ac:dyDescent="0.35">
      <c r="A293" s="642" t="s">
        <v>759</v>
      </c>
      <c r="B293" s="854">
        <v>44834</v>
      </c>
      <c r="C293" s="642" t="s">
        <v>714</v>
      </c>
      <c r="D293" s="1013">
        <v>1803865.5</v>
      </c>
    </row>
    <row r="294" spans="1:4" x14ac:dyDescent="0.35">
      <c r="A294" s="642" t="s">
        <v>759</v>
      </c>
      <c r="B294" s="854">
        <v>44834</v>
      </c>
      <c r="C294" s="642" t="s">
        <v>712</v>
      </c>
      <c r="D294" s="1013">
        <v>5855.8</v>
      </c>
    </row>
    <row r="295" spans="1:4" x14ac:dyDescent="0.35">
      <c r="A295" s="642" t="s">
        <v>759</v>
      </c>
      <c r="B295" s="854">
        <v>44834</v>
      </c>
      <c r="C295" s="642" t="s">
        <v>709</v>
      </c>
      <c r="D295" s="1013">
        <v>324699.55</v>
      </c>
    </row>
    <row r="296" spans="1:4" x14ac:dyDescent="0.35">
      <c r="A296" s="642" t="s">
        <v>759</v>
      </c>
      <c r="B296" s="854">
        <v>44834</v>
      </c>
      <c r="C296" s="642" t="s">
        <v>713</v>
      </c>
      <c r="D296" s="1013">
        <v>50473.5</v>
      </c>
    </row>
    <row r="297" spans="1:4" s="683" customFormat="1" x14ac:dyDescent="0.35">
      <c r="A297" s="1018" t="s">
        <v>769</v>
      </c>
      <c r="B297" s="1019"/>
      <c r="C297" s="1018"/>
      <c r="D297" s="1020">
        <f>SUM(D291:D296)</f>
        <v>6953415.1399999997</v>
      </c>
    </row>
    <row r="298" spans="1:4" s="894" customFormat="1" x14ac:dyDescent="0.35">
      <c r="B298" s="853"/>
      <c r="D298" s="916"/>
    </row>
    <row r="299" spans="1:4" x14ac:dyDescent="0.35">
      <c r="A299" s="642" t="s">
        <v>1216</v>
      </c>
      <c r="B299" s="854">
        <v>44834</v>
      </c>
      <c r="C299" s="642" t="s">
        <v>710</v>
      </c>
      <c r="D299" s="1013">
        <v>7206.08</v>
      </c>
    </row>
    <row r="300" spans="1:4" s="683" customFormat="1" x14ac:dyDescent="0.35">
      <c r="A300" s="1018" t="s">
        <v>769</v>
      </c>
      <c r="B300" s="1019"/>
      <c r="C300" s="1018"/>
      <c r="D300" s="1020">
        <f>SUM(D299)</f>
        <v>7206.08</v>
      </c>
    </row>
    <row r="301" spans="1:4" s="894" customFormat="1" x14ac:dyDescent="0.35">
      <c r="B301" s="853"/>
      <c r="D301" s="916"/>
    </row>
    <row r="302" spans="1:4" x14ac:dyDescent="0.35">
      <c r="A302" s="642" t="s">
        <v>761</v>
      </c>
      <c r="B302" s="854">
        <v>44834</v>
      </c>
      <c r="C302" s="642" t="s">
        <v>707</v>
      </c>
      <c r="D302" s="1013">
        <v>8749</v>
      </c>
    </row>
    <row r="303" spans="1:4" s="683" customFormat="1" x14ac:dyDescent="0.35">
      <c r="A303" s="1018" t="s">
        <v>769</v>
      </c>
      <c r="B303" s="1019"/>
      <c r="C303" s="1018"/>
      <c r="D303" s="1020">
        <f>SUM(D302)</f>
        <v>8749</v>
      </c>
    </row>
    <row r="304" spans="1:4" s="894" customFormat="1" x14ac:dyDescent="0.35">
      <c r="B304" s="853"/>
      <c r="D304" s="916"/>
    </row>
    <row r="305" spans="1:4" x14ac:dyDescent="0.35">
      <c r="A305" s="642" t="s">
        <v>762</v>
      </c>
      <c r="B305" s="854">
        <v>44834</v>
      </c>
      <c r="C305" s="642" t="s">
        <v>707</v>
      </c>
      <c r="D305" s="1013">
        <v>7752</v>
      </c>
    </row>
    <row r="306" spans="1:4" s="683" customFormat="1" x14ac:dyDescent="0.35">
      <c r="A306" s="1018" t="s">
        <v>769</v>
      </c>
      <c r="B306" s="1019"/>
      <c r="C306" s="1018"/>
      <c r="D306" s="1020">
        <f>SUM(D305)</f>
        <v>7752</v>
      </c>
    </row>
    <row r="307" spans="1:4" s="894" customFormat="1" x14ac:dyDescent="0.35">
      <c r="B307" s="853"/>
      <c r="D307" s="916"/>
    </row>
    <row r="308" spans="1:4" x14ac:dyDescent="0.35">
      <c r="A308" s="642" t="s">
        <v>763</v>
      </c>
      <c r="B308" s="854">
        <v>44834</v>
      </c>
      <c r="C308" s="642" t="s">
        <v>713</v>
      </c>
      <c r="D308" s="1013">
        <v>1113.7</v>
      </c>
    </row>
    <row r="309" spans="1:4" x14ac:dyDescent="0.35">
      <c r="A309" s="642" t="s">
        <v>763</v>
      </c>
      <c r="B309" s="854">
        <v>44834</v>
      </c>
      <c r="C309" s="642" t="s">
        <v>707</v>
      </c>
      <c r="D309" s="1013">
        <v>137125</v>
      </c>
    </row>
    <row r="310" spans="1:4" x14ac:dyDescent="0.35">
      <c r="A310" s="642" t="s">
        <v>763</v>
      </c>
      <c r="B310" s="854">
        <v>44834</v>
      </c>
      <c r="C310" s="642" t="s">
        <v>724</v>
      </c>
      <c r="D310" s="1013">
        <v>0</v>
      </c>
    </row>
    <row r="311" spans="1:4" x14ac:dyDescent="0.35">
      <c r="A311" s="642" t="s">
        <v>763</v>
      </c>
      <c r="B311" s="854">
        <v>44834</v>
      </c>
      <c r="C311" s="642" t="s">
        <v>714</v>
      </c>
      <c r="D311" s="1013">
        <v>39539.5</v>
      </c>
    </row>
    <row r="312" spans="1:4" s="683" customFormat="1" x14ac:dyDescent="0.35">
      <c r="A312" s="1018" t="s">
        <v>769</v>
      </c>
      <c r="B312" s="1019"/>
      <c r="C312" s="1018"/>
      <c r="D312" s="1020">
        <f>SUM(D308:D311)</f>
        <v>177778.2</v>
      </c>
    </row>
    <row r="313" spans="1:4" s="894" customFormat="1" x14ac:dyDescent="0.35">
      <c r="B313" s="853"/>
      <c r="D313" s="916"/>
    </row>
    <row r="314" spans="1:4" x14ac:dyDescent="0.35">
      <c r="A314" s="642" t="s">
        <v>764</v>
      </c>
      <c r="B314" s="854">
        <v>44834</v>
      </c>
      <c r="C314" s="642" t="s">
        <v>707</v>
      </c>
      <c r="D314" s="1013">
        <v>7947</v>
      </c>
    </row>
    <row r="315" spans="1:4" x14ac:dyDescent="0.35">
      <c r="A315" s="642" t="s">
        <v>764</v>
      </c>
      <c r="B315" s="854">
        <v>44834</v>
      </c>
      <c r="C315" s="642" t="s">
        <v>713</v>
      </c>
      <c r="D315" s="1013">
        <v>212</v>
      </c>
    </row>
    <row r="316" spans="1:4" x14ac:dyDescent="0.35">
      <c r="A316" s="642" t="s">
        <v>764</v>
      </c>
      <c r="B316" s="854">
        <v>44834</v>
      </c>
      <c r="C316" s="642" t="s">
        <v>714</v>
      </c>
      <c r="D316" s="1013">
        <v>2464.6999999999998</v>
      </c>
    </row>
    <row r="317" spans="1:4" s="683" customFormat="1" x14ac:dyDescent="0.35">
      <c r="A317" s="1018" t="s">
        <v>769</v>
      </c>
      <c r="B317" s="1019"/>
      <c r="C317" s="1018"/>
      <c r="D317" s="1020">
        <f>SUM(D314:D316)</f>
        <v>10623.7</v>
      </c>
    </row>
    <row r="318" spans="1:4" s="894" customFormat="1" x14ac:dyDescent="0.35">
      <c r="B318" s="853"/>
      <c r="D318" s="916"/>
    </row>
    <row r="319" spans="1:4" x14ac:dyDescent="0.35">
      <c r="A319" s="642" t="s">
        <v>765</v>
      </c>
      <c r="B319" s="854">
        <v>44834</v>
      </c>
      <c r="C319" s="642" t="s">
        <v>713</v>
      </c>
      <c r="D319" s="1013">
        <v>18658.5</v>
      </c>
    </row>
    <row r="320" spans="1:4" x14ac:dyDescent="0.35">
      <c r="A320" s="642" t="s">
        <v>765</v>
      </c>
      <c r="B320" s="854">
        <v>44834</v>
      </c>
      <c r="C320" s="642" t="s">
        <v>712</v>
      </c>
      <c r="D320" s="1013">
        <v>2650.9</v>
      </c>
    </row>
    <row r="321" spans="1:4" x14ac:dyDescent="0.35">
      <c r="A321" s="642" t="s">
        <v>765</v>
      </c>
      <c r="B321" s="854">
        <v>44834</v>
      </c>
      <c r="C321" s="642" t="s">
        <v>709</v>
      </c>
      <c r="D321" s="1013">
        <v>6109.45</v>
      </c>
    </row>
    <row r="322" spans="1:4" x14ac:dyDescent="0.35">
      <c r="A322" s="642" t="s">
        <v>765</v>
      </c>
      <c r="B322" s="854">
        <v>44834</v>
      </c>
      <c r="C322" s="642" t="s">
        <v>714</v>
      </c>
      <c r="D322" s="1013">
        <v>315426.5</v>
      </c>
    </row>
    <row r="323" spans="1:4" x14ac:dyDescent="0.35">
      <c r="A323" s="642" t="s">
        <v>765</v>
      </c>
      <c r="B323" s="854">
        <v>44834</v>
      </c>
      <c r="C323" s="642" t="s">
        <v>710</v>
      </c>
      <c r="D323" s="1013">
        <v>4554.32</v>
      </c>
    </row>
    <row r="324" spans="1:4" x14ac:dyDescent="0.35">
      <c r="A324" s="642" t="s">
        <v>765</v>
      </c>
      <c r="B324" s="854">
        <v>44834</v>
      </c>
      <c r="C324" s="642" t="s">
        <v>719</v>
      </c>
      <c r="D324" s="1013">
        <v>15924.17</v>
      </c>
    </row>
    <row r="325" spans="1:4" x14ac:dyDescent="0.35">
      <c r="A325" s="642" t="s">
        <v>765</v>
      </c>
      <c r="B325" s="854">
        <v>44834</v>
      </c>
      <c r="C325" s="642" t="s">
        <v>707</v>
      </c>
      <c r="D325" s="1013">
        <v>440319</v>
      </c>
    </row>
    <row r="326" spans="1:4" s="683" customFormat="1" x14ac:dyDescent="0.35">
      <c r="A326" s="1018" t="s">
        <v>769</v>
      </c>
      <c r="B326" s="1019"/>
      <c r="C326" s="1018"/>
      <c r="D326" s="1020">
        <f>SUM(D319:D325)</f>
        <v>803642.84</v>
      </c>
    </row>
    <row r="327" spans="1:4" s="894" customFormat="1" x14ac:dyDescent="0.35">
      <c r="B327" s="853"/>
      <c r="D327" s="916"/>
    </row>
    <row r="328" spans="1:4" x14ac:dyDescent="0.35">
      <c r="A328" s="642" t="s">
        <v>766</v>
      </c>
      <c r="B328" s="854">
        <v>44834</v>
      </c>
      <c r="C328" s="642" t="s">
        <v>714</v>
      </c>
      <c r="D328" s="1013">
        <v>154246</v>
      </c>
    </row>
    <row r="329" spans="1:4" x14ac:dyDescent="0.35">
      <c r="A329" s="642" t="s">
        <v>766</v>
      </c>
      <c r="B329" s="854">
        <v>44834</v>
      </c>
      <c r="C329" s="642" t="s">
        <v>712</v>
      </c>
      <c r="D329" s="1013">
        <v>450</v>
      </c>
    </row>
    <row r="330" spans="1:4" x14ac:dyDescent="0.35">
      <c r="A330" s="642" t="s">
        <v>766</v>
      </c>
      <c r="B330" s="854">
        <v>44834</v>
      </c>
      <c r="C330" s="642" t="s">
        <v>713</v>
      </c>
      <c r="D330" s="1013">
        <v>4636</v>
      </c>
    </row>
    <row r="331" spans="1:4" x14ac:dyDescent="0.35">
      <c r="A331" s="642" t="s">
        <v>766</v>
      </c>
      <c r="B331" s="854">
        <v>44834</v>
      </c>
      <c r="C331" s="642" t="s">
        <v>707</v>
      </c>
      <c r="D331" s="1013">
        <v>357766</v>
      </c>
    </row>
    <row r="332" spans="1:4" s="683" customFormat="1" x14ac:dyDescent="0.35">
      <c r="A332" s="1018" t="s">
        <v>769</v>
      </c>
      <c r="B332" s="1019"/>
      <c r="C332" s="1018"/>
      <c r="D332" s="1020">
        <f>SUM(D328:D331)</f>
        <v>517098</v>
      </c>
    </row>
    <row r="333" spans="1:4" s="894" customFormat="1" x14ac:dyDescent="0.35">
      <c r="B333" s="853"/>
      <c r="D333" s="916"/>
    </row>
    <row r="334" spans="1:4" x14ac:dyDescent="0.35">
      <c r="A334" s="642" t="s">
        <v>767</v>
      </c>
      <c r="B334" s="854">
        <v>44834</v>
      </c>
      <c r="C334" s="642" t="s">
        <v>709</v>
      </c>
      <c r="D334" s="1013">
        <v>18015</v>
      </c>
    </row>
    <row r="335" spans="1:4" x14ac:dyDescent="0.35">
      <c r="A335" s="642" t="s">
        <v>767</v>
      </c>
      <c r="B335" s="854">
        <v>44834</v>
      </c>
      <c r="C335" s="642" t="s">
        <v>710</v>
      </c>
      <c r="D335" s="1013">
        <v>5114.4399999999996</v>
      </c>
    </row>
    <row r="336" spans="1:4" x14ac:dyDescent="0.35">
      <c r="A336" s="642" t="s">
        <v>767</v>
      </c>
      <c r="B336" s="854">
        <v>44834</v>
      </c>
      <c r="C336" s="642" t="s">
        <v>707</v>
      </c>
      <c r="D336" s="1013">
        <v>21858</v>
      </c>
    </row>
    <row r="337" spans="1:4" s="683" customFormat="1" x14ac:dyDescent="0.35">
      <c r="A337" s="1018" t="s">
        <v>769</v>
      </c>
      <c r="B337" s="1019"/>
      <c r="C337" s="1018"/>
      <c r="D337" s="1020">
        <f>SUM(D334:D336)</f>
        <v>44987.44</v>
      </c>
    </row>
    <row r="338" spans="1:4" s="894" customFormat="1" x14ac:dyDescent="0.35">
      <c r="B338" s="853"/>
      <c r="D338" s="916"/>
    </row>
    <row r="339" spans="1:4" x14ac:dyDescent="0.35">
      <c r="A339" s="642" t="s">
        <v>771</v>
      </c>
      <c r="B339" s="854">
        <v>44834</v>
      </c>
      <c r="C339" s="642" t="s">
        <v>719</v>
      </c>
      <c r="D339" s="1013">
        <v>4237.96</v>
      </c>
    </row>
    <row r="340" spans="1:4" s="683" customFormat="1" x14ac:dyDescent="0.35">
      <c r="A340" s="1018" t="s">
        <v>769</v>
      </c>
      <c r="B340" s="1019"/>
      <c r="C340" s="1018"/>
      <c r="D340" s="1020">
        <f>SUM(D339)</f>
        <v>4237.96</v>
      </c>
    </row>
    <row r="341" spans="1:4" s="894" customFormat="1" x14ac:dyDescent="0.35">
      <c r="B341" s="853"/>
      <c r="D341" s="916"/>
    </row>
    <row r="342" spans="1:4" x14ac:dyDescent="0.35">
      <c r="A342" s="642" t="s">
        <v>768</v>
      </c>
      <c r="B342" s="854">
        <v>44834</v>
      </c>
      <c r="C342" s="642" t="s">
        <v>712</v>
      </c>
      <c r="D342" s="1013">
        <v>80</v>
      </c>
    </row>
    <row r="343" spans="1:4" x14ac:dyDescent="0.35">
      <c r="A343" s="642" t="s">
        <v>768</v>
      </c>
      <c r="B343" s="854">
        <v>44834</v>
      </c>
      <c r="C343" s="642" t="s">
        <v>719</v>
      </c>
      <c r="D343" s="1013">
        <v>19372.88</v>
      </c>
    </row>
    <row r="344" spans="1:4" x14ac:dyDescent="0.35">
      <c r="A344" s="642" t="s">
        <v>768</v>
      </c>
      <c r="B344" s="854">
        <v>44834</v>
      </c>
      <c r="C344" s="642" t="s">
        <v>713</v>
      </c>
      <c r="D344" s="1013">
        <v>902.5</v>
      </c>
    </row>
    <row r="345" spans="1:4" x14ac:dyDescent="0.35">
      <c r="A345" s="642" t="s">
        <v>768</v>
      </c>
      <c r="B345" s="854">
        <v>44834</v>
      </c>
      <c r="C345" s="642" t="s">
        <v>714</v>
      </c>
      <c r="D345" s="1013">
        <v>105411.2</v>
      </c>
    </row>
    <row r="346" spans="1:4" x14ac:dyDescent="0.35">
      <c r="A346" s="642" t="s">
        <v>768</v>
      </c>
      <c r="B346" s="854">
        <v>44834</v>
      </c>
      <c r="C346" s="642" t="s">
        <v>707</v>
      </c>
      <c r="D346" s="1013">
        <v>169204</v>
      </c>
    </row>
    <row r="347" spans="1:4" s="683" customFormat="1" x14ac:dyDescent="0.35">
      <c r="A347" s="1018" t="s">
        <v>769</v>
      </c>
      <c r="B347" s="1019"/>
      <c r="C347" s="1018"/>
      <c r="D347" s="1020">
        <f>SUM(D342:D346)</f>
        <v>294970.58</v>
      </c>
    </row>
    <row r="348" spans="1:4" x14ac:dyDescent="0.35">
      <c r="A348" s="683" t="s">
        <v>665</v>
      </c>
      <c r="B348" s="683"/>
      <c r="C348" s="683"/>
      <c r="D348" s="917">
        <f>SUM(D2:D347)/2</f>
        <v>87737868.099999949</v>
      </c>
    </row>
    <row r="350" spans="1:4" x14ac:dyDescent="0.35">
      <c r="D350" s="916">
        <v>377060.8</v>
      </c>
    </row>
    <row r="352" spans="1:4" x14ac:dyDescent="0.35">
      <c r="D352" s="916">
        <f>D348-D350</f>
        <v>87360807.299999952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6E1D-0686-4DF2-BDF6-4014EF20B758}">
  <dimension ref="A1:J49"/>
  <sheetViews>
    <sheetView workbookViewId="0">
      <selection activeCell="A13" sqref="A13"/>
    </sheetView>
  </sheetViews>
  <sheetFormatPr defaultRowHeight="21" x14ac:dyDescent="0.5"/>
  <cols>
    <col min="1" max="1" width="82.6328125" style="13" customWidth="1"/>
    <col min="2" max="7" width="23.6328125" style="920" customWidth="1"/>
    <col min="8" max="8" width="23.6328125" style="652" customWidth="1"/>
    <col min="9" max="9" width="24.453125" style="652" customWidth="1"/>
  </cols>
  <sheetData>
    <row r="1" spans="1:10" x14ac:dyDescent="0.5">
      <c r="A1" s="12" t="s">
        <v>1215</v>
      </c>
    </row>
    <row r="2" spans="1:10" x14ac:dyDescent="0.5">
      <c r="A2" s="12"/>
      <c r="I2" s="921"/>
    </row>
    <row r="3" spans="1:10" ht="18.5" x14ac:dyDescent="0.45">
      <c r="A3" s="884">
        <v>44783</v>
      </c>
      <c r="C3" s="922"/>
    </row>
    <row r="4" spans="1:10" x14ac:dyDescent="0.5">
      <c r="A4" s="885" t="s">
        <v>205</v>
      </c>
      <c r="B4" s="923" t="s">
        <v>206</v>
      </c>
      <c r="C4" s="923" t="s">
        <v>207</v>
      </c>
      <c r="D4" s="923" t="s">
        <v>208</v>
      </c>
      <c r="E4" s="923" t="s">
        <v>209</v>
      </c>
      <c r="F4" s="923" t="s">
        <v>210</v>
      </c>
      <c r="G4" s="923" t="s">
        <v>211</v>
      </c>
      <c r="H4" s="924" t="s">
        <v>212</v>
      </c>
      <c r="I4" s="924" t="s">
        <v>213</v>
      </c>
    </row>
    <row r="5" spans="1:10" x14ac:dyDescent="0.5">
      <c r="A5" s="886" t="s">
        <v>666</v>
      </c>
      <c r="B5" s="925">
        <v>1542346.2666000575</v>
      </c>
      <c r="C5" s="925"/>
      <c r="D5" s="925">
        <v>0</v>
      </c>
      <c r="E5" s="925"/>
      <c r="F5" s="925"/>
      <c r="G5" s="926"/>
      <c r="H5" s="648"/>
      <c r="I5" s="752">
        <f>SUM(B5:H5)</f>
        <v>1542346.2666000575</v>
      </c>
      <c r="J5" s="133"/>
    </row>
    <row r="6" spans="1:10" x14ac:dyDescent="0.5">
      <c r="A6" s="886" t="s">
        <v>225</v>
      </c>
      <c r="B6" s="927">
        <v>3000.6400000089779</v>
      </c>
      <c r="C6" s="927"/>
      <c r="D6" s="927"/>
      <c r="E6" s="927"/>
      <c r="F6" s="925"/>
      <c r="G6" s="929"/>
      <c r="H6" s="928"/>
      <c r="I6" s="752">
        <f t="shared" ref="I6:I44" si="0">SUM(B6:H6)</f>
        <v>3000.6400000089779</v>
      </c>
    </row>
    <row r="7" spans="1:10" x14ac:dyDescent="0.5">
      <c r="A7" s="886" t="s">
        <v>263</v>
      </c>
      <c r="B7" s="936">
        <v>1822272.3299999996</v>
      </c>
      <c r="C7" s="931">
        <v>55863.38</v>
      </c>
      <c r="D7" s="931">
        <v>61848.74</v>
      </c>
      <c r="E7" s="931">
        <v>59853.63</v>
      </c>
      <c r="F7" s="931">
        <v>61848.74</v>
      </c>
      <c r="G7" s="932">
        <v>59853.63</v>
      </c>
      <c r="H7" s="933">
        <v>61848.74</v>
      </c>
      <c r="I7" s="752">
        <f t="shared" si="0"/>
        <v>2183389.1899999995</v>
      </c>
    </row>
    <row r="8" spans="1:10" x14ac:dyDescent="0.5">
      <c r="A8" s="886" t="s">
        <v>264</v>
      </c>
      <c r="B8" s="925">
        <v>1034162.01</v>
      </c>
      <c r="C8" s="925"/>
      <c r="D8" s="925">
        <v>0</v>
      </c>
      <c r="E8" s="925"/>
      <c r="F8" s="925"/>
      <c r="G8" s="929"/>
      <c r="H8" s="928"/>
      <c r="I8" s="752">
        <f t="shared" si="0"/>
        <v>1034162.01</v>
      </c>
    </row>
    <row r="9" spans="1:10" x14ac:dyDescent="0.5">
      <c r="A9" s="886" t="s">
        <v>215</v>
      </c>
      <c r="B9" s="936">
        <v>1988564.7300000009</v>
      </c>
      <c r="C9" s="936">
        <v>-27483.14</v>
      </c>
      <c r="D9" s="936">
        <v>-861109.85</v>
      </c>
      <c r="E9" s="936">
        <v>88626.06</v>
      </c>
      <c r="F9" s="936">
        <v>83406.540000000008</v>
      </c>
      <c r="G9" s="926">
        <v>82785.599999999991</v>
      </c>
      <c r="H9" s="648">
        <v>87022.8</v>
      </c>
      <c r="I9" s="752">
        <f t="shared" si="0"/>
        <v>1441812.7400000014</v>
      </c>
    </row>
    <row r="10" spans="1:10" x14ac:dyDescent="0.5">
      <c r="A10" s="886" t="s">
        <v>287</v>
      </c>
      <c r="B10" s="936">
        <v>1075621.9000000001</v>
      </c>
      <c r="C10" s="936">
        <v>38671.990000000005</v>
      </c>
      <c r="D10" s="936">
        <v>40473.490000000005</v>
      </c>
      <c r="E10" s="936">
        <v>39873</v>
      </c>
      <c r="F10" s="931">
        <v>40473.490000000005</v>
      </c>
      <c r="G10" s="932">
        <v>39873</v>
      </c>
      <c r="H10" s="933">
        <v>40473.490000000005</v>
      </c>
      <c r="I10" s="752">
        <f t="shared" si="0"/>
        <v>1315460.3600000001</v>
      </c>
    </row>
    <row r="11" spans="1:10" x14ac:dyDescent="0.5">
      <c r="A11" s="886" t="s">
        <v>256</v>
      </c>
      <c r="B11" s="925">
        <v>607284.87999999966</v>
      </c>
      <c r="C11" s="927">
        <v>0</v>
      </c>
      <c r="D11" s="927"/>
      <c r="E11" s="927"/>
      <c r="F11" s="925"/>
      <c r="G11" s="929"/>
      <c r="H11" s="928"/>
      <c r="I11" s="752">
        <f t="shared" si="0"/>
        <v>607284.87999999966</v>
      </c>
    </row>
    <row r="12" spans="1:10" x14ac:dyDescent="0.5">
      <c r="A12" s="886" t="s">
        <v>675</v>
      </c>
      <c r="B12" s="936">
        <v>663774.71000000008</v>
      </c>
      <c r="C12" s="936"/>
      <c r="D12" s="936"/>
      <c r="E12" s="936"/>
      <c r="F12" s="931"/>
      <c r="G12" s="932"/>
      <c r="H12" s="933"/>
      <c r="I12" s="752">
        <f t="shared" si="0"/>
        <v>663774.71000000008</v>
      </c>
    </row>
    <row r="13" spans="1:10" x14ac:dyDescent="0.5">
      <c r="A13" s="886" t="s">
        <v>286</v>
      </c>
      <c r="B13" s="925">
        <v>604156.05999999994</v>
      </c>
      <c r="C13" s="925"/>
      <c r="D13" s="925"/>
      <c r="E13" s="925"/>
      <c r="F13" s="925"/>
      <c r="G13" s="929"/>
      <c r="H13" s="928"/>
      <c r="I13" s="752">
        <f t="shared" si="0"/>
        <v>604156.05999999994</v>
      </c>
    </row>
    <row r="14" spans="1:10" x14ac:dyDescent="0.5">
      <c r="A14" s="886" t="s">
        <v>243</v>
      </c>
      <c r="B14" s="925">
        <v>583040</v>
      </c>
      <c r="C14" s="925"/>
      <c r="D14" s="925"/>
      <c r="E14" s="925"/>
      <c r="F14" s="925"/>
      <c r="G14" s="929"/>
      <c r="H14" s="928"/>
      <c r="I14" s="752">
        <f t="shared" si="0"/>
        <v>583040</v>
      </c>
    </row>
    <row r="15" spans="1:10" x14ac:dyDescent="0.5">
      <c r="A15" s="886" t="s">
        <v>279</v>
      </c>
      <c r="B15" s="779">
        <v>145404.98000000001</v>
      </c>
      <c r="C15" s="931"/>
      <c r="D15" s="931"/>
      <c r="E15" s="931"/>
      <c r="F15" s="931"/>
      <c r="G15" s="932"/>
      <c r="H15" s="937"/>
      <c r="I15" s="752">
        <f t="shared" si="0"/>
        <v>145404.98000000001</v>
      </c>
    </row>
    <row r="16" spans="1:10" x14ac:dyDescent="0.5">
      <c r="A16" s="886" t="s">
        <v>509</v>
      </c>
      <c r="B16" s="931">
        <v>416348.5</v>
      </c>
      <c r="C16" s="936"/>
      <c r="D16" s="936"/>
      <c r="E16" s="936"/>
      <c r="F16" s="936"/>
      <c r="G16" s="938"/>
      <c r="H16" s="939"/>
      <c r="I16" s="752">
        <f t="shared" si="0"/>
        <v>416348.5</v>
      </c>
    </row>
    <row r="17" spans="1:9" x14ac:dyDescent="0.5">
      <c r="A17" s="887" t="s">
        <v>683</v>
      </c>
      <c r="B17" s="930">
        <v>219001.4</v>
      </c>
      <c r="C17" s="930">
        <v>58073.78</v>
      </c>
      <c r="D17" s="930">
        <v>74294.66</v>
      </c>
      <c r="E17" s="930">
        <v>53457.229999999996</v>
      </c>
      <c r="F17" s="936"/>
      <c r="G17" s="940"/>
      <c r="H17" s="937"/>
      <c r="I17" s="752">
        <f t="shared" si="0"/>
        <v>404827.06999999995</v>
      </c>
    </row>
    <row r="18" spans="1:9" x14ac:dyDescent="0.5">
      <c r="A18" s="886" t="s">
        <v>111</v>
      </c>
      <c r="B18" s="925">
        <v>311810.03999999998</v>
      </c>
      <c r="C18" s="925"/>
      <c r="D18" s="925"/>
      <c r="E18" s="925"/>
      <c r="F18" s="925"/>
      <c r="G18" s="929"/>
      <c r="H18" s="752">
        <v>5602.54</v>
      </c>
      <c r="I18" s="752">
        <f t="shared" si="0"/>
        <v>317412.57999999996</v>
      </c>
    </row>
    <row r="19" spans="1:9" x14ac:dyDescent="0.5">
      <c r="A19" s="886" t="s">
        <v>216</v>
      </c>
      <c r="B19" s="931">
        <v>313552.88999999996</v>
      </c>
      <c r="C19" s="936"/>
      <c r="D19" s="936"/>
      <c r="E19" s="936"/>
      <c r="F19" s="936"/>
      <c r="G19" s="926"/>
      <c r="H19" s="648"/>
      <c r="I19" s="752">
        <f t="shared" si="0"/>
        <v>313552.88999999996</v>
      </c>
    </row>
    <row r="20" spans="1:9" x14ac:dyDescent="0.5">
      <c r="A20" s="886" t="s">
        <v>219</v>
      </c>
      <c r="B20" s="931">
        <v>244973</v>
      </c>
      <c r="C20" s="931">
        <v>8749</v>
      </c>
      <c r="D20" s="931">
        <v>8749</v>
      </c>
      <c r="E20" s="931">
        <v>8749</v>
      </c>
      <c r="F20" s="936">
        <v>8749</v>
      </c>
      <c r="G20" s="932">
        <v>8749</v>
      </c>
      <c r="H20" s="933">
        <v>8749</v>
      </c>
      <c r="I20" s="752">
        <f t="shared" si="0"/>
        <v>297467</v>
      </c>
    </row>
    <row r="21" spans="1:9" x14ac:dyDescent="0.5">
      <c r="A21" s="886" t="s">
        <v>222</v>
      </c>
      <c r="B21" s="931">
        <v>196719</v>
      </c>
      <c r="C21" s="931">
        <v>8553</v>
      </c>
      <c r="D21" s="931">
        <v>8553</v>
      </c>
      <c r="E21" s="931">
        <v>8553</v>
      </c>
      <c r="F21" s="931">
        <v>8553</v>
      </c>
      <c r="G21" s="932">
        <v>8553</v>
      </c>
      <c r="H21" s="933">
        <v>8553</v>
      </c>
      <c r="I21" s="752">
        <f t="shared" si="0"/>
        <v>248037</v>
      </c>
    </row>
    <row r="22" spans="1:9" x14ac:dyDescent="0.5">
      <c r="A22" s="886" t="s">
        <v>246</v>
      </c>
      <c r="B22" s="936">
        <v>178296</v>
      </c>
      <c r="C22" s="936">
        <v>7752</v>
      </c>
      <c r="D22" s="936">
        <v>7752</v>
      </c>
      <c r="E22" s="936">
        <v>7752</v>
      </c>
      <c r="F22" s="936">
        <v>7752</v>
      </c>
      <c r="G22" s="932">
        <v>7752</v>
      </c>
      <c r="H22" s="933">
        <v>7752</v>
      </c>
      <c r="I22" s="752">
        <f t="shared" si="0"/>
        <v>224808</v>
      </c>
    </row>
    <row r="23" spans="1:9" x14ac:dyDescent="0.5">
      <c r="A23" s="886" t="s">
        <v>276</v>
      </c>
      <c r="B23" s="936">
        <v>11719.379999999946</v>
      </c>
      <c r="C23" s="936"/>
      <c r="D23" s="936"/>
      <c r="E23" s="936"/>
      <c r="F23" s="936">
        <v>-1</v>
      </c>
      <c r="G23" s="932">
        <v>7186.9500000000116</v>
      </c>
      <c r="H23" s="933"/>
      <c r="I23" s="752">
        <f t="shared" si="0"/>
        <v>18905.329999999958</v>
      </c>
    </row>
    <row r="24" spans="1:9" x14ac:dyDescent="0.5">
      <c r="A24" s="886" t="s">
        <v>1040</v>
      </c>
      <c r="B24" s="936">
        <v>70508.390000000014</v>
      </c>
      <c r="C24" s="936">
        <v>2462.2600000000002</v>
      </c>
      <c r="D24" s="936">
        <v>5210.67</v>
      </c>
      <c r="E24" s="931"/>
      <c r="F24" s="931"/>
      <c r="G24" s="932"/>
      <c r="H24" s="933">
        <v>58646.34</v>
      </c>
      <c r="I24" s="752">
        <f t="shared" si="0"/>
        <v>136827.66</v>
      </c>
    </row>
    <row r="25" spans="1:9" x14ac:dyDescent="0.5">
      <c r="A25" s="886" t="s">
        <v>235</v>
      </c>
      <c r="B25" s="925">
        <v>987.6499999999869</v>
      </c>
      <c r="C25" s="927"/>
      <c r="D25" s="927"/>
      <c r="E25" s="927">
        <v>1075.8000000000029</v>
      </c>
      <c r="F25" s="927"/>
      <c r="G25" s="934">
        <v>-135</v>
      </c>
      <c r="H25" s="935"/>
      <c r="I25" s="752">
        <f t="shared" si="0"/>
        <v>1928.4499999999898</v>
      </c>
    </row>
    <row r="26" spans="1:9" x14ac:dyDescent="0.5">
      <c r="A26" s="886" t="s">
        <v>685</v>
      </c>
      <c r="B26" s="936">
        <v>33292.000000000029</v>
      </c>
      <c r="C26" s="936"/>
      <c r="D26" s="936"/>
      <c r="E26" s="936">
        <v>0</v>
      </c>
      <c r="F26" s="931"/>
      <c r="G26" s="926"/>
      <c r="H26" s="648"/>
      <c r="I26" s="752">
        <f t="shared" si="0"/>
        <v>33292.000000000029</v>
      </c>
    </row>
    <row r="27" spans="1:9" x14ac:dyDescent="0.5">
      <c r="A27" s="886" t="s">
        <v>459</v>
      </c>
      <c r="B27" s="931">
        <v>94994.15</v>
      </c>
      <c r="C27" s="936"/>
      <c r="D27" s="936"/>
      <c r="E27" s="936"/>
      <c r="F27" s="936"/>
      <c r="G27" s="926"/>
      <c r="H27" s="648"/>
      <c r="I27" s="752">
        <f t="shared" si="0"/>
        <v>94994.15</v>
      </c>
    </row>
    <row r="28" spans="1:9" x14ac:dyDescent="0.5">
      <c r="A28" s="886" t="s">
        <v>503</v>
      </c>
      <c r="B28" s="931">
        <v>73202.629999999976</v>
      </c>
      <c r="C28" s="936"/>
      <c r="D28" s="936"/>
      <c r="E28" s="936"/>
      <c r="F28" s="936"/>
      <c r="G28" s="926"/>
      <c r="H28" s="648"/>
      <c r="I28" s="752">
        <f t="shared" si="0"/>
        <v>73202.629999999976</v>
      </c>
    </row>
    <row r="29" spans="1:9" x14ac:dyDescent="0.5">
      <c r="A29" s="886" t="s">
        <v>255</v>
      </c>
      <c r="B29" s="931">
        <v>49941.420000000042</v>
      </c>
      <c r="C29" s="936"/>
      <c r="D29" s="936"/>
      <c r="E29" s="936">
        <v>0</v>
      </c>
      <c r="F29" s="936"/>
      <c r="G29" s="926"/>
      <c r="H29" s="648">
        <v>15101.8</v>
      </c>
      <c r="I29" s="752">
        <f t="shared" si="0"/>
        <v>65043.220000000045</v>
      </c>
    </row>
    <row r="30" spans="1:9" x14ac:dyDescent="0.5">
      <c r="A30" s="886" t="s">
        <v>525</v>
      </c>
      <c r="B30" s="936">
        <v>64989.42</v>
      </c>
      <c r="C30" s="936"/>
      <c r="D30" s="936"/>
      <c r="E30" s="936"/>
      <c r="F30" s="936"/>
      <c r="G30" s="940"/>
      <c r="H30" s="612"/>
      <c r="I30" s="752">
        <f t="shared" si="0"/>
        <v>64989.42</v>
      </c>
    </row>
    <row r="31" spans="1:9" x14ac:dyDescent="0.5">
      <c r="A31" s="633" t="s">
        <v>686</v>
      </c>
      <c r="B31" s="931">
        <v>23298.280000000057</v>
      </c>
      <c r="C31" s="936"/>
      <c r="D31" s="936"/>
      <c r="E31" s="936"/>
      <c r="F31" s="936"/>
      <c r="G31" s="926"/>
      <c r="H31" s="648"/>
      <c r="I31" s="752">
        <f t="shared" si="0"/>
        <v>23298.280000000057</v>
      </c>
    </row>
    <row r="32" spans="1:9" x14ac:dyDescent="0.5">
      <c r="A32" s="886" t="s">
        <v>693</v>
      </c>
      <c r="B32" s="936">
        <v>32572.5</v>
      </c>
      <c r="C32" s="936"/>
      <c r="D32" s="936"/>
      <c r="E32" s="936"/>
      <c r="F32" s="931"/>
      <c r="G32" s="932"/>
      <c r="H32" s="933"/>
      <c r="I32" s="752">
        <f t="shared" si="0"/>
        <v>32572.5</v>
      </c>
    </row>
    <row r="33" spans="1:9" x14ac:dyDescent="0.5">
      <c r="A33" s="886" t="s">
        <v>684</v>
      </c>
      <c r="B33" s="936">
        <v>30474.279999999984</v>
      </c>
      <c r="C33" s="936"/>
      <c r="D33" s="936"/>
      <c r="E33" s="936"/>
      <c r="F33" s="936"/>
      <c r="G33" s="926"/>
      <c r="H33" s="648"/>
      <c r="I33" s="752">
        <f t="shared" si="0"/>
        <v>30474.279999999984</v>
      </c>
    </row>
    <row r="34" spans="1:9" x14ac:dyDescent="0.5">
      <c r="A34" s="886" t="s">
        <v>688</v>
      </c>
      <c r="B34" s="931">
        <v>23503.47</v>
      </c>
      <c r="C34" s="936"/>
      <c r="D34" s="936">
        <v>0</v>
      </c>
      <c r="E34" s="936"/>
      <c r="F34" s="936"/>
      <c r="G34" s="926"/>
      <c r="H34" s="648"/>
      <c r="I34" s="752">
        <f t="shared" si="0"/>
        <v>23503.47</v>
      </c>
    </row>
    <row r="35" spans="1:9" x14ac:dyDescent="0.5">
      <c r="A35" s="886" t="s">
        <v>697</v>
      </c>
      <c r="B35" s="925">
        <v>18446.39</v>
      </c>
      <c r="C35" s="927"/>
      <c r="D35" s="927"/>
      <c r="E35" s="927"/>
      <c r="F35" s="927"/>
      <c r="G35" s="934"/>
      <c r="H35" s="935"/>
      <c r="I35" s="752">
        <f t="shared" si="0"/>
        <v>18446.39</v>
      </c>
    </row>
    <row r="36" spans="1:9" x14ac:dyDescent="0.5">
      <c r="A36" s="886" t="s">
        <v>480</v>
      </c>
      <c r="B36" s="931">
        <v>18381.95</v>
      </c>
      <c r="C36" s="936"/>
      <c r="D36" s="936"/>
      <c r="E36" s="936"/>
      <c r="F36" s="936"/>
      <c r="G36" s="926"/>
      <c r="H36" s="648"/>
      <c r="I36" s="752">
        <f t="shared" si="0"/>
        <v>18381.95</v>
      </c>
    </row>
    <row r="37" spans="1:9" x14ac:dyDescent="0.5">
      <c r="A37" s="887" t="s">
        <v>691</v>
      </c>
      <c r="B37" s="931">
        <v>17873.900000000001</v>
      </c>
      <c r="C37" s="931"/>
      <c r="D37" s="931"/>
      <c r="E37" s="936"/>
      <c r="F37" s="931"/>
      <c r="G37" s="932"/>
      <c r="H37" s="933"/>
      <c r="I37" s="752">
        <f t="shared" si="0"/>
        <v>17873.900000000001</v>
      </c>
    </row>
    <row r="38" spans="1:9" x14ac:dyDescent="0.5">
      <c r="A38" s="633" t="s">
        <v>692</v>
      </c>
      <c r="B38" s="931">
        <v>16268.82</v>
      </c>
      <c r="C38" s="936"/>
      <c r="D38" s="936"/>
      <c r="E38" s="936"/>
      <c r="F38" s="936"/>
      <c r="G38" s="926"/>
      <c r="H38" s="648"/>
      <c r="I38" s="752">
        <f t="shared" si="0"/>
        <v>16268.82</v>
      </c>
    </row>
    <row r="39" spans="1:9" x14ac:dyDescent="0.5">
      <c r="A39" s="886" t="s">
        <v>250</v>
      </c>
      <c r="B39" s="931">
        <v>15396</v>
      </c>
      <c r="C39" s="936"/>
      <c r="D39" s="936"/>
      <c r="E39" s="936"/>
      <c r="F39" s="936"/>
      <c r="G39" s="926"/>
      <c r="H39" s="648"/>
      <c r="I39" s="752">
        <f t="shared" si="0"/>
        <v>15396</v>
      </c>
    </row>
    <row r="40" spans="1:9" x14ac:dyDescent="0.5">
      <c r="A40" s="886" t="s">
        <v>502</v>
      </c>
      <c r="B40" s="931">
        <v>8773.1399999999958</v>
      </c>
      <c r="C40" s="931"/>
      <c r="D40" s="931"/>
      <c r="E40" s="931"/>
      <c r="F40" s="931"/>
      <c r="G40" s="932"/>
      <c r="H40" s="933"/>
      <c r="I40" s="752">
        <f t="shared" si="0"/>
        <v>8773.1399999999958</v>
      </c>
    </row>
    <row r="41" spans="1:9" x14ac:dyDescent="0.5">
      <c r="A41" s="886" t="s">
        <v>695</v>
      </c>
      <c r="B41" s="931">
        <v>8626.7799999999988</v>
      </c>
      <c r="C41" s="936"/>
      <c r="D41" s="936"/>
      <c r="E41" s="936"/>
      <c r="F41" s="936"/>
      <c r="G41" s="926"/>
      <c r="H41" s="648"/>
      <c r="I41" s="752">
        <f t="shared" si="0"/>
        <v>8626.7799999999988</v>
      </c>
    </row>
    <row r="42" spans="1:9" x14ac:dyDescent="0.5">
      <c r="A42" s="633" t="s">
        <v>505</v>
      </c>
      <c r="B42" s="931">
        <v>8345.2899999999991</v>
      </c>
      <c r="C42" s="936"/>
      <c r="D42" s="936"/>
      <c r="E42" s="936"/>
      <c r="F42" s="936"/>
      <c r="G42" s="926"/>
      <c r="H42" s="648"/>
      <c r="I42" s="752">
        <f t="shared" si="0"/>
        <v>8345.2899999999991</v>
      </c>
    </row>
    <row r="43" spans="1:9" x14ac:dyDescent="0.5">
      <c r="A43" s="886" t="s">
        <v>128</v>
      </c>
      <c r="B43" s="931">
        <v>834.78</v>
      </c>
      <c r="C43" s="936"/>
      <c r="D43" s="936"/>
      <c r="E43" s="936"/>
      <c r="F43" s="936"/>
      <c r="G43" s="926"/>
      <c r="H43" s="648"/>
      <c r="I43" s="752">
        <f t="shared" si="0"/>
        <v>834.78</v>
      </c>
    </row>
    <row r="44" spans="1:9" ht="21.5" thickBot="1" x14ac:dyDescent="0.55000000000000004">
      <c r="A44" s="886" t="s">
        <v>508</v>
      </c>
      <c r="B44" s="931">
        <v>731.7</v>
      </c>
      <c r="C44" s="936"/>
      <c r="D44" s="936"/>
      <c r="E44" s="936"/>
      <c r="F44" s="936"/>
      <c r="G44" s="926"/>
      <c r="H44" s="648"/>
      <c r="I44" s="752">
        <f t="shared" si="0"/>
        <v>731.7</v>
      </c>
    </row>
    <row r="45" spans="1:9" ht="21.5" thickBot="1" x14ac:dyDescent="0.55000000000000004">
      <c r="A45" s="636" t="s">
        <v>665</v>
      </c>
      <c r="B45" s="950">
        <f t="shared" ref="B45:H45" si="1">SUM(B5:B44)</f>
        <v>12573491.656600069</v>
      </c>
      <c r="C45" s="950">
        <f t="shared" si="1"/>
        <v>152642.27000000002</v>
      </c>
      <c r="D45" s="950">
        <f t="shared" si="1"/>
        <v>-654228.28999999992</v>
      </c>
      <c r="E45" s="950">
        <f t="shared" si="1"/>
        <v>267939.71999999997</v>
      </c>
      <c r="F45" s="950">
        <f t="shared" si="1"/>
        <v>210781.77000000002</v>
      </c>
      <c r="G45" s="950">
        <f t="shared" si="1"/>
        <v>214618.18</v>
      </c>
      <c r="H45" s="951">
        <f t="shared" si="1"/>
        <v>293749.71000000002</v>
      </c>
      <c r="I45" s="821">
        <f>SUM(B45:H45)</f>
        <v>13058995.016600071</v>
      </c>
    </row>
    <row r="46" spans="1:9" x14ac:dyDescent="0.5">
      <c r="I46" s="831"/>
    </row>
    <row r="47" spans="1:9" x14ac:dyDescent="0.5">
      <c r="H47" s="952"/>
      <c r="I47" s="952"/>
    </row>
    <row r="48" spans="1:9" x14ac:dyDescent="0.5">
      <c r="H48" s="831"/>
      <c r="I48" s="952"/>
    </row>
    <row r="49" spans="7:7" x14ac:dyDescent="0.5">
      <c r="G49" s="95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28813-9CC7-4CCF-859C-1D8D19EDE19F}">
  <dimension ref="A1:I33"/>
  <sheetViews>
    <sheetView workbookViewId="0"/>
  </sheetViews>
  <sheetFormatPr defaultRowHeight="21" x14ac:dyDescent="0.5"/>
  <cols>
    <col min="1" max="1" width="82.6328125" style="13" customWidth="1"/>
    <col min="2" max="7" width="23.6328125" style="920" customWidth="1"/>
    <col min="8" max="8" width="23.6328125" style="652" customWidth="1"/>
    <col min="9" max="9" width="24.453125" style="652" customWidth="1"/>
  </cols>
  <sheetData>
    <row r="1" spans="1:9" x14ac:dyDescent="0.5">
      <c r="A1" s="12" t="s">
        <v>1214</v>
      </c>
    </row>
    <row r="2" spans="1:9" x14ac:dyDescent="0.5">
      <c r="A2" s="12"/>
      <c r="I2" s="921"/>
    </row>
    <row r="3" spans="1:9" ht="18.5" x14ac:dyDescent="0.45">
      <c r="A3" s="884">
        <v>44783</v>
      </c>
      <c r="C3" s="922"/>
    </row>
    <row r="4" spans="1:9" x14ac:dyDescent="0.5">
      <c r="A4" s="885" t="s">
        <v>205</v>
      </c>
      <c r="B4" s="923" t="s">
        <v>206</v>
      </c>
      <c r="C4" s="923" t="s">
        <v>207</v>
      </c>
      <c r="D4" s="923" t="s">
        <v>208</v>
      </c>
      <c r="E4" s="923" t="s">
        <v>209</v>
      </c>
      <c r="F4" s="923" t="s">
        <v>210</v>
      </c>
      <c r="G4" s="923" t="s">
        <v>211</v>
      </c>
      <c r="H4" s="924" t="s">
        <v>212</v>
      </c>
      <c r="I4" s="924" t="s">
        <v>213</v>
      </c>
    </row>
    <row r="5" spans="1:9" x14ac:dyDescent="0.5">
      <c r="A5" s="886" t="s">
        <v>682</v>
      </c>
      <c r="B5" s="936">
        <v>-2</v>
      </c>
      <c r="C5" s="936"/>
      <c r="D5" s="936"/>
      <c r="E5" s="936"/>
      <c r="F5" s="936"/>
      <c r="G5" s="941"/>
      <c r="H5" s="942"/>
      <c r="I5" s="752">
        <v>-2</v>
      </c>
    </row>
    <row r="6" spans="1:9" x14ac:dyDescent="0.5">
      <c r="A6" s="886" t="s">
        <v>699</v>
      </c>
      <c r="B6" s="925">
        <v>-36.199999999953434</v>
      </c>
      <c r="C6" s="925"/>
      <c r="D6" s="925"/>
      <c r="E6" s="927"/>
      <c r="F6" s="927"/>
      <c r="G6" s="943"/>
      <c r="H6" s="944"/>
      <c r="I6" s="752">
        <v>-36.199999999953434</v>
      </c>
    </row>
    <row r="7" spans="1:9" x14ac:dyDescent="0.5">
      <c r="A7" s="886" t="s">
        <v>679</v>
      </c>
      <c r="B7" s="931">
        <v>-133.73999999999069</v>
      </c>
      <c r="C7" s="936"/>
      <c r="D7" s="936"/>
      <c r="E7" s="936"/>
      <c r="F7" s="936"/>
      <c r="G7" s="926"/>
      <c r="H7" s="648"/>
      <c r="I7" s="752">
        <v>-133.73999999999069</v>
      </c>
    </row>
    <row r="8" spans="1:9" x14ac:dyDescent="0.5">
      <c r="A8" s="886" t="s">
        <v>289</v>
      </c>
      <c r="B8" s="925">
        <v>-501.41</v>
      </c>
      <c r="C8" s="927"/>
      <c r="D8" s="927"/>
      <c r="E8" s="927"/>
      <c r="F8" s="927"/>
      <c r="G8" s="934"/>
      <c r="H8" s="935"/>
      <c r="I8" s="752">
        <v>-501.41</v>
      </c>
    </row>
    <row r="9" spans="1:9" x14ac:dyDescent="0.5">
      <c r="A9" s="886" t="s">
        <v>273</v>
      </c>
      <c r="B9" s="936">
        <v>-2184.6839999999829</v>
      </c>
      <c r="C9" s="936"/>
      <c r="D9" s="936"/>
      <c r="E9" s="936"/>
      <c r="F9" s="936"/>
      <c r="G9" s="932"/>
      <c r="H9" s="933"/>
      <c r="I9" s="752">
        <v>-2184.6839999999829</v>
      </c>
    </row>
    <row r="10" spans="1:9" x14ac:dyDescent="0.5">
      <c r="A10" s="886" t="s">
        <v>283</v>
      </c>
      <c r="B10" s="925">
        <v>-2348.9</v>
      </c>
      <c r="C10" s="927"/>
      <c r="D10" s="927"/>
      <c r="E10" s="927"/>
      <c r="F10" s="927"/>
      <c r="G10" s="934"/>
      <c r="H10" s="935"/>
      <c r="I10" s="752">
        <v>-2348.9</v>
      </c>
    </row>
    <row r="11" spans="1:9" x14ac:dyDescent="0.5">
      <c r="A11" s="886" t="s">
        <v>700</v>
      </c>
      <c r="B11" s="927">
        <v>-2858.9200000000346</v>
      </c>
      <c r="C11" s="927"/>
      <c r="D11" s="927"/>
      <c r="E11" s="925"/>
      <c r="F11" s="925"/>
      <c r="G11" s="929"/>
      <c r="H11" s="928"/>
      <c r="I11" s="752">
        <v>-2858.9200000000346</v>
      </c>
    </row>
    <row r="12" spans="1:9" x14ac:dyDescent="0.5">
      <c r="A12" s="886" t="s">
        <v>281</v>
      </c>
      <c r="B12" s="925">
        <v>-4655.5600000000004</v>
      </c>
      <c r="C12" s="927"/>
      <c r="D12" s="927"/>
      <c r="E12" s="927"/>
      <c r="F12" s="927"/>
      <c r="G12" s="934"/>
      <c r="H12" s="935"/>
      <c r="I12" s="752">
        <v>-4655.5600000000004</v>
      </c>
    </row>
    <row r="13" spans="1:9" x14ac:dyDescent="0.5">
      <c r="A13" s="886" t="s">
        <v>244</v>
      </c>
      <c r="B13" s="925">
        <v>-4925.8500000000004</v>
      </c>
      <c r="C13" s="927"/>
      <c r="D13" s="927"/>
      <c r="E13" s="927"/>
      <c r="F13" s="927"/>
      <c r="G13" s="934"/>
      <c r="H13" s="935"/>
      <c r="I13" s="752">
        <v>-4925.8500000000004</v>
      </c>
    </row>
    <row r="14" spans="1:9" x14ac:dyDescent="0.5">
      <c r="A14" s="886" t="s">
        <v>253</v>
      </c>
      <c r="B14" s="925">
        <v>-5959.03</v>
      </c>
      <c r="C14" s="927"/>
      <c r="D14" s="927"/>
      <c r="E14" s="927"/>
      <c r="F14" s="927"/>
      <c r="G14" s="934"/>
      <c r="H14" s="935"/>
      <c r="I14" s="752">
        <v>-5959.03</v>
      </c>
    </row>
    <row r="15" spans="1:9" x14ac:dyDescent="0.5">
      <c r="A15" s="886" t="s">
        <v>291</v>
      </c>
      <c r="B15" s="925">
        <v>-6676.28</v>
      </c>
      <c r="C15" s="927"/>
      <c r="D15" s="927"/>
      <c r="E15" s="927"/>
      <c r="F15" s="927"/>
      <c r="G15" s="934"/>
      <c r="H15" s="935"/>
      <c r="I15" s="752">
        <v>-6676.28</v>
      </c>
    </row>
    <row r="16" spans="1:9" x14ac:dyDescent="0.5">
      <c r="A16" s="886" t="s">
        <v>689</v>
      </c>
      <c r="B16" s="925">
        <v>0</v>
      </c>
      <c r="C16" s="927"/>
      <c r="D16" s="927">
        <v>0</v>
      </c>
      <c r="E16" s="927"/>
      <c r="F16" s="927">
        <v>-65489.21</v>
      </c>
      <c r="G16" s="934">
        <v>1120.51</v>
      </c>
      <c r="H16" s="935">
        <v>44538.91</v>
      </c>
      <c r="I16" s="752">
        <v>-19829.789999999994</v>
      </c>
    </row>
    <row r="17" spans="1:9" x14ac:dyDescent="0.5">
      <c r="A17" s="886" t="s">
        <v>102</v>
      </c>
      <c r="B17" s="925">
        <v>-21803.759999999998</v>
      </c>
      <c r="C17" s="927"/>
      <c r="D17" s="927"/>
      <c r="E17" s="927"/>
      <c r="F17" s="927"/>
      <c r="G17" s="934"/>
      <c r="H17" s="935"/>
      <c r="I17" s="752">
        <v>-21803.759999999998</v>
      </c>
    </row>
    <row r="18" spans="1:9" x14ac:dyDescent="0.5">
      <c r="A18" s="886" t="s">
        <v>122</v>
      </c>
      <c r="B18" s="925">
        <v>-29297.360000000001</v>
      </c>
      <c r="C18" s="927"/>
      <c r="D18" s="927"/>
      <c r="E18" s="927"/>
      <c r="F18" s="927"/>
      <c r="G18" s="934"/>
      <c r="H18" s="935"/>
      <c r="I18" s="752">
        <v>-29297.360000000001</v>
      </c>
    </row>
    <row r="19" spans="1:9" x14ac:dyDescent="0.5">
      <c r="A19" s="888" t="s">
        <v>132</v>
      </c>
      <c r="B19" s="925">
        <v>-35689.800000000003</v>
      </c>
      <c r="C19" s="927"/>
      <c r="D19" s="927"/>
      <c r="E19" s="927"/>
      <c r="F19" s="927"/>
      <c r="G19" s="934"/>
      <c r="H19" s="935"/>
      <c r="I19" s="752">
        <v>-35689.800000000003</v>
      </c>
    </row>
    <row r="20" spans="1:9" x14ac:dyDescent="0.5">
      <c r="A20" s="888" t="s">
        <v>107</v>
      </c>
      <c r="B20" s="931">
        <v>-39944.120000000003</v>
      </c>
      <c r="C20" s="936"/>
      <c r="D20" s="936"/>
      <c r="E20" s="931"/>
      <c r="F20" s="931"/>
      <c r="G20" s="932"/>
      <c r="H20" s="933"/>
      <c r="I20" s="752">
        <v>-39944.120000000003</v>
      </c>
    </row>
    <row r="21" spans="1:9" x14ac:dyDescent="0.5">
      <c r="A21" s="888" t="s">
        <v>221</v>
      </c>
      <c r="B21" s="925">
        <v>-113497.32</v>
      </c>
      <c r="C21" s="927"/>
      <c r="D21" s="927"/>
      <c r="E21" s="927"/>
      <c r="F21" s="927"/>
      <c r="G21" s="934"/>
      <c r="H21" s="935"/>
      <c r="I21" s="752">
        <v>-113497.32</v>
      </c>
    </row>
    <row r="22" spans="1:9" x14ac:dyDescent="0.5">
      <c r="A22" s="888" t="s">
        <v>249</v>
      </c>
      <c r="B22" s="925">
        <v>-115236.29</v>
      </c>
      <c r="C22" s="927"/>
      <c r="D22" s="927"/>
      <c r="E22" s="927"/>
      <c r="F22" s="927"/>
      <c r="G22" s="934"/>
      <c r="H22" s="935"/>
      <c r="I22" s="752">
        <v>-115236.29</v>
      </c>
    </row>
    <row r="23" spans="1:9" x14ac:dyDescent="0.5">
      <c r="A23" s="888" t="s">
        <v>701</v>
      </c>
      <c r="B23" s="925">
        <v>-135954.03</v>
      </c>
      <c r="C23" s="927"/>
      <c r="D23" s="927"/>
      <c r="E23" s="927"/>
      <c r="F23" s="927"/>
      <c r="G23" s="934"/>
      <c r="H23" s="935"/>
      <c r="I23" s="752">
        <v>-135954.03</v>
      </c>
    </row>
    <row r="24" spans="1:9" x14ac:dyDescent="0.5">
      <c r="A24" s="888" t="s">
        <v>702</v>
      </c>
      <c r="B24" s="925">
        <v>-207956.99</v>
      </c>
      <c r="C24" s="927"/>
      <c r="D24" s="927"/>
      <c r="E24" s="927"/>
      <c r="F24" s="927"/>
      <c r="G24" s="934"/>
      <c r="H24" s="935"/>
      <c r="I24" s="752">
        <v>-207956.99</v>
      </c>
    </row>
    <row r="25" spans="1:9" x14ac:dyDescent="0.5">
      <c r="A25" s="889" t="s">
        <v>245</v>
      </c>
      <c r="B25" s="925">
        <v>-221089.2</v>
      </c>
      <c r="C25" s="927"/>
      <c r="D25" s="927"/>
      <c r="E25" s="927"/>
      <c r="F25" s="927"/>
      <c r="G25" s="934"/>
      <c r="H25" s="935"/>
      <c r="I25" s="752">
        <v>-221089.2</v>
      </c>
    </row>
    <row r="26" spans="1:9" x14ac:dyDescent="0.5">
      <c r="A26" s="888" t="s">
        <v>282</v>
      </c>
      <c r="B26" s="925">
        <v>-265954.98</v>
      </c>
      <c r="C26" s="927"/>
      <c r="D26" s="927"/>
      <c r="E26" s="927"/>
      <c r="F26" s="927"/>
      <c r="G26" s="934"/>
      <c r="H26" s="935"/>
      <c r="I26" s="752">
        <v>-265954.98</v>
      </c>
    </row>
    <row r="27" spans="1:9" x14ac:dyDescent="0.5">
      <c r="A27" s="945" t="s">
        <v>268</v>
      </c>
      <c r="B27" s="946">
        <v>0</v>
      </c>
      <c r="C27" s="946"/>
      <c r="D27" s="946"/>
      <c r="E27" s="946"/>
      <c r="F27" s="946"/>
      <c r="G27" s="947"/>
      <c r="H27" s="488">
        <v>-623095.94599999697</v>
      </c>
      <c r="I27" s="752">
        <v>-623095.94599999697</v>
      </c>
    </row>
    <row r="28" spans="1:9" ht="21.5" thickBot="1" x14ac:dyDescent="0.55000000000000004">
      <c r="A28" s="888" t="s">
        <v>703</v>
      </c>
      <c r="B28" s="948">
        <v>-1120862.76</v>
      </c>
      <c r="C28" s="949"/>
      <c r="D28" s="949"/>
      <c r="E28" s="949"/>
      <c r="F28" s="949"/>
      <c r="G28" s="949"/>
      <c r="H28" s="759"/>
      <c r="I28" s="1016">
        <v>-1120862.76</v>
      </c>
    </row>
    <row r="29" spans="1:9" ht="21.5" thickBot="1" x14ac:dyDescent="0.55000000000000004">
      <c r="A29" s="636" t="s">
        <v>665</v>
      </c>
      <c r="B29" s="950">
        <f t="shared" ref="B29:H29" si="0">SUM(B5:B28)</f>
        <v>-2337569.1839999999</v>
      </c>
      <c r="C29" s="950">
        <f t="shared" si="0"/>
        <v>0</v>
      </c>
      <c r="D29" s="950">
        <f t="shared" si="0"/>
        <v>0</v>
      </c>
      <c r="E29" s="950">
        <f t="shared" si="0"/>
        <v>0</v>
      </c>
      <c r="F29" s="950">
        <f t="shared" si="0"/>
        <v>-65489.21</v>
      </c>
      <c r="G29" s="950">
        <f t="shared" si="0"/>
        <v>1120.51</v>
      </c>
      <c r="H29" s="951">
        <f t="shared" si="0"/>
        <v>-578557.03599999694</v>
      </c>
      <c r="I29" s="821">
        <f>SUM(B29:H29)</f>
        <v>-2980494.9199999971</v>
      </c>
    </row>
    <row r="30" spans="1:9" x14ac:dyDescent="0.5">
      <c r="I30" s="831"/>
    </row>
    <row r="31" spans="1:9" x14ac:dyDescent="0.5">
      <c r="H31" s="952"/>
      <c r="I31" s="952"/>
    </row>
    <row r="32" spans="1:9" x14ac:dyDescent="0.5">
      <c r="H32" s="831"/>
      <c r="I32" s="952"/>
    </row>
    <row r="33" spans="7:7" x14ac:dyDescent="0.5">
      <c r="G33" s="953"/>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C3D6-B5E3-435D-8C3A-DB020AAA4287}">
  <dimension ref="A1:J106"/>
  <sheetViews>
    <sheetView topLeftCell="A49" workbookViewId="0">
      <selection activeCell="K58" sqref="K58"/>
    </sheetView>
  </sheetViews>
  <sheetFormatPr defaultRowHeight="14.5" x14ac:dyDescent="0.35"/>
  <cols>
    <col min="1" max="1" width="63.1796875" style="894" customWidth="1"/>
    <col min="2" max="2" width="16.08984375" style="916" hidden="1" customWidth="1"/>
    <col min="3" max="3" width="14.81640625" style="916" hidden="1" customWidth="1"/>
    <col min="4" max="4" width="13.1796875" style="916" hidden="1" customWidth="1"/>
    <col min="5" max="5" width="13.453125" style="916" hidden="1" customWidth="1"/>
    <col min="6" max="6" width="14.453125" style="916" hidden="1" customWidth="1"/>
    <col min="7" max="7" width="16.453125" style="916" hidden="1" customWidth="1"/>
    <col min="8" max="8" width="14.1796875" style="675" hidden="1" customWidth="1"/>
    <col min="9" max="9" width="13.81640625" style="675" bestFit="1" customWidth="1"/>
    <col min="10" max="10" width="50.1796875" style="954" customWidth="1"/>
  </cols>
  <sheetData>
    <row r="1" spans="1:10" x14ac:dyDescent="0.35">
      <c r="A1" s="683" t="s">
        <v>198</v>
      </c>
    </row>
    <row r="2" spans="1:10" x14ac:dyDescent="0.35">
      <c r="A2" s="683"/>
      <c r="I2" s="955"/>
    </row>
    <row r="3" spans="1:10" x14ac:dyDescent="0.35">
      <c r="A3" s="956">
        <v>44741</v>
      </c>
      <c r="C3" s="957"/>
    </row>
    <row r="4" spans="1:10" x14ac:dyDescent="0.35">
      <c r="A4" s="958" t="s">
        <v>205</v>
      </c>
      <c r="B4" s="959" t="s">
        <v>206</v>
      </c>
      <c r="C4" s="959" t="s">
        <v>207</v>
      </c>
      <c r="D4" s="959" t="s">
        <v>208</v>
      </c>
      <c r="E4" s="959" t="s">
        <v>209</v>
      </c>
      <c r="F4" s="959" t="s">
        <v>210</v>
      </c>
      <c r="G4" s="959" t="s">
        <v>211</v>
      </c>
      <c r="H4" s="960" t="s">
        <v>212</v>
      </c>
      <c r="I4" s="960" t="s">
        <v>213</v>
      </c>
      <c r="J4" s="961" t="s">
        <v>1213</v>
      </c>
    </row>
    <row r="5" spans="1:10" x14ac:dyDescent="0.35">
      <c r="A5" s="962" t="s">
        <v>666</v>
      </c>
      <c r="B5" s="963">
        <v>1542346.2666000575</v>
      </c>
      <c r="C5" s="963"/>
      <c r="D5" s="963"/>
      <c r="E5" s="963"/>
      <c r="F5" s="963">
        <v>0</v>
      </c>
      <c r="G5" s="964">
        <v>5186381.0000000019</v>
      </c>
      <c r="H5" s="965">
        <v>20921610.460000001</v>
      </c>
      <c r="I5" s="1014">
        <f t="shared" ref="I5:I68" si="0">SUM(B5:H5)</f>
        <v>27650337.726600058</v>
      </c>
      <c r="J5" s="1015" t="s">
        <v>1178</v>
      </c>
    </row>
    <row r="6" spans="1:10" x14ac:dyDescent="0.35">
      <c r="A6" s="962" t="s">
        <v>227</v>
      </c>
      <c r="B6" s="918">
        <v>0</v>
      </c>
      <c r="C6" s="918"/>
      <c r="D6" s="918"/>
      <c r="E6" s="918"/>
      <c r="F6" s="918"/>
      <c r="G6" s="964">
        <v>8793274.4299999997</v>
      </c>
      <c r="H6" s="968">
        <v>9281436.4299999997</v>
      </c>
      <c r="I6" s="1014">
        <f t="shared" si="0"/>
        <v>18074710.859999999</v>
      </c>
      <c r="J6" s="1015" t="s">
        <v>1179</v>
      </c>
    </row>
    <row r="7" spans="1:10" x14ac:dyDescent="0.35">
      <c r="A7" s="962" t="s">
        <v>668</v>
      </c>
      <c r="B7" s="963">
        <v>0</v>
      </c>
      <c r="C7" s="918"/>
      <c r="D7" s="918"/>
      <c r="E7" s="918"/>
      <c r="F7" s="918"/>
      <c r="G7" s="964"/>
      <c r="H7" s="965">
        <v>0</v>
      </c>
      <c r="I7" s="966">
        <f t="shared" si="0"/>
        <v>0</v>
      </c>
      <c r="J7" s="967" t="s">
        <v>1208</v>
      </c>
    </row>
    <row r="8" spans="1:10" x14ac:dyDescent="0.35">
      <c r="A8" s="962" t="s">
        <v>223</v>
      </c>
      <c r="B8" s="918">
        <v>-8.0000000074505806E-2</v>
      </c>
      <c r="C8" s="918"/>
      <c r="D8" s="918"/>
      <c r="E8" s="918"/>
      <c r="F8" s="963"/>
      <c r="G8" s="969"/>
      <c r="H8" s="966"/>
      <c r="I8" s="966">
        <f t="shared" si="0"/>
        <v>-8.0000000074505806E-2</v>
      </c>
      <c r="J8" s="970" t="s">
        <v>1208</v>
      </c>
    </row>
    <row r="9" spans="1:10" x14ac:dyDescent="0.35">
      <c r="A9" s="962" t="s">
        <v>247</v>
      </c>
      <c r="B9" s="918">
        <v>-3911.9200000048149</v>
      </c>
      <c r="C9" s="918"/>
      <c r="D9" s="918"/>
      <c r="E9" s="963"/>
      <c r="F9" s="963"/>
      <c r="G9" s="969"/>
      <c r="H9" s="966"/>
      <c r="I9" s="971">
        <f t="shared" si="0"/>
        <v>-3911.9200000048149</v>
      </c>
      <c r="J9" s="972" t="s">
        <v>1208</v>
      </c>
    </row>
    <row r="10" spans="1:10" ht="29" x14ac:dyDescent="0.35">
      <c r="A10" s="962" t="s">
        <v>278</v>
      </c>
      <c r="B10" s="918">
        <v>0</v>
      </c>
      <c r="C10" s="918"/>
      <c r="D10" s="918"/>
      <c r="E10" s="963">
        <v>836550.72400004882</v>
      </c>
      <c r="F10" s="963">
        <v>2685996.0300000003</v>
      </c>
      <c r="G10" s="969">
        <v>46316.399999999907</v>
      </c>
      <c r="H10" s="966">
        <v>2686595.23</v>
      </c>
      <c r="I10" s="966">
        <f t="shared" si="0"/>
        <v>6255458.384000049</v>
      </c>
      <c r="J10" s="973" t="s">
        <v>1204</v>
      </c>
    </row>
    <row r="11" spans="1:10" x14ac:dyDescent="0.35">
      <c r="A11" s="962" t="s">
        <v>669</v>
      </c>
      <c r="B11" s="918">
        <v>-0.44</v>
      </c>
      <c r="C11" s="918"/>
      <c r="D11" s="918"/>
      <c r="E11" s="918"/>
      <c r="F11" s="918">
        <v>1741734.7400000002</v>
      </c>
      <c r="G11" s="964">
        <v>1680069.8099999998</v>
      </c>
      <c r="H11" s="965">
        <v>2470159.58</v>
      </c>
      <c r="I11" s="966">
        <f t="shared" si="0"/>
        <v>5891963.6900000004</v>
      </c>
      <c r="J11" s="973" t="s">
        <v>1206</v>
      </c>
    </row>
    <row r="12" spans="1:10" ht="29" x14ac:dyDescent="0.35">
      <c r="A12" s="962" t="s">
        <v>266</v>
      </c>
      <c r="B12" s="918">
        <v>0</v>
      </c>
      <c r="C12" s="918"/>
      <c r="D12" s="918"/>
      <c r="E12" s="918"/>
      <c r="F12" s="918"/>
      <c r="G12" s="974"/>
      <c r="H12" s="966">
        <v>5822007.2500000112</v>
      </c>
      <c r="I12" s="966">
        <f t="shared" si="0"/>
        <v>5822007.2500000112</v>
      </c>
      <c r="J12" s="973" t="s">
        <v>1205</v>
      </c>
    </row>
    <row r="13" spans="1:10" x14ac:dyDescent="0.35">
      <c r="A13" s="962" t="s">
        <v>667</v>
      </c>
      <c r="B13" s="918">
        <v>0</v>
      </c>
      <c r="C13" s="918"/>
      <c r="D13" s="918"/>
      <c r="E13" s="918"/>
      <c r="F13" s="918"/>
      <c r="G13" s="974"/>
      <c r="H13" s="966">
        <v>3340294.4560000123</v>
      </c>
      <c r="I13" s="966">
        <f t="shared" si="0"/>
        <v>3340294.4560000123</v>
      </c>
      <c r="J13" s="967" t="s">
        <v>1207</v>
      </c>
    </row>
    <row r="14" spans="1:10" x14ac:dyDescent="0.35">
      <c r="A14" s="962" t="s">
        <v>224</v>
      </c>
      <c r="B14" s="918">
        <v>0</v>
      </c>
      <c r="C14" s="918"/>
      <c r="D14" s="918"/>
      <c r="E14" s="963"/>
      <c r="F14" s="963"/>
      <c r="G14" s="975">
        <v>757179.85999999475</v>
      </c>
      <c r="H14" s="976">
        <v>4101912.06</v>
      </c>
      <c r="I14" s="966">
        <f t="shared" si="0"/>
        <v>4859091.9199999943</v>
      </c>
      <c r="J14" s="967" t="s">
        <v>1180</v>
      </c>
    </row>
    <row r="15" spans="1:10" x14ac:dyDescent="0.35">
      <c r="A15" s="962" t="s">
        <v>236</v>
      </c>
      <c r="B15" s="918">
        <v>-0.11</v>
      </c>
      <c r="C15" s="918"/>
      <c r="D15" s="918"/>
      <c r="E15" s="918"/>
      <c r="F15" s="963"/>
      <c r="G15" s="969">
        <v>1257280.6499999999</v>
      </c>
      <c r="H15" s="966">
        <v>1296501.6599999999</v>
      </c>
      <c r="I15" s="966">
        <f t="shared" si="0"/>
        <v>2553782.1999999997</v>
      </c>
      <c r="J15" s="967" t="s">
        <v>1212</v>
      </c>
    </row>
    <row r="16" spans="1:10" x14ac:dyDescent="0.35">
      <c r="A16" s="962" t="s">
        <v>225</v>
      </c>
      <c r="B16" s="918">
        <v>3000.6400000089779</v>
      </c>
      <c r="C16" s="918"/>
      <c r="D16" s="918"/>
      <c r="E16" s="918"/>
      <c r="F16" s="963"/>
      <c r="G16" s="969"/>
      <c r="H16" s="966">
        <v>2144907.02</v>
      </c>
      <c r="I16" s="966">
        <f t="shared" si="0"/>
        <v>2147907.660000009</v>
      </c>
      <c r="J16" s="967" t="s">
        <v>1180</v>
      </c>
    </row>
    <row r="17" spans="1:10" x14ac:dyDescent="0.35">
      <c r="A17" s="962" t="s">
        <v>671</v>
      </c>
      <c r="B17" s="918">
        <v>0</v>
      </c>
      <c r="C17" s="918"/>
      <c r="D17" s="918"/>
      <c r="E17" s="918"/>
      <c r="F17" s="918"/>
      <c r="G17" s="969">
        <v>1043520.6</v>
      </c>
      <c r="H17" s="966">
        <v>1035155.6</v>
      </c>
      <c r="I17" s="966">
        <f t="shared" si="0"/>
        <v>2078676.2</v>
      </c>
      <c r="J17" s="967" t="s">
        <v>1181</v>
      </c>
    </row>
    <row r="18" spans="1:10" x14ac:dyDescent="0.35">
      <c r="A18" s="962" t="s">
        <v>263</v>
      </c>
      <c r="B18" s="968">
        <v>1698574.8499999996</v>
      </c>
      <c r="C18" s="977">
        <v>61848.74</v>
      </c>
      <c r="D18" s="977">
        <v>61848.74</v>
      </c>
      <c r="E18" s="977">
        <v>55863.38</v>
      </c>
      <c r="F18" s="977">
        <v>61848.74</v>
      </c>
      <c r="G18" s="978">
        <v>59853.63</v>
      </c>
      <c r="H18" s="979">
        <v>61848.74</v>
      </c>
      <c r="I18" s="966">
        <f t="shared" si="0"/>
        <v>2061686.8199999994</v>
      </c>
      <c r="J18" s="967" t="s">
        <v>1183</v>
      </c>
    </row>
    <row r="19" spans="1:10" ht="43.5" x14ac:dyDescent="0.35">
      <c r="A19" s="962" t="s">
        <v>681</v>
      </c>
      <c r="B19" s="968">
        <v>-246841.94999999972</v>
      </c>
      <c r="C19" s="968"/>
      <c r="D19" s="968">
        <v>353612.37</v>
      </c>
      <c r="E19" s="968">
        <v>509335.9</v>
      </c>
      <c r="F19" s="968">
        <v>491531.08</v>
      </c>
      <c r="G19" s="964">
        <v>196116.53</v>
      </c>
      <c r="H19" s="965">
        <v>547746.96</v>
      </c>
      <c r="I19" s="966">
        <f t="shared" si="0"/>
        <v>1851500.8900000004</v>
      </c>
      <c r="J19" s="973" t="s">
        <v>1184</v>
      </c>
    </row>
    <row r="20" spans="1:10" x14ac:dyDescent="0.35">
      <c r="A20" s="962" t="s">
        <v>696</v>
      </c>
      <c r="B20" s="963">
        <v>0</v>
      </c>
      <c r="C20" s="918"/>
      <c r="D20" s="918"/>
      <c r="E20" s="918">
        <v>0</v>
      </c>
      <c r="F20" s="918"/>
      <c r="G20" s="964">
        <v>0</v>
      </c>
      <c r="H20" s="965">
        <v>1721632.8</v>
      </c>
      <c r="I20" s="966">
        <f t="shared" si="0"/>
        <v>1721632.8</v>
      </c>
      <c r="J20" s="967" t="s">
        <v>1186</v>
      </c>
    </row>
    <row r="21" spans="1:10" x14ac:dyDescent="0.35">
      <c r="A21" s="962" t="s">
        <v>265</v>
      </c>
      <c r="B21" s="968">
        <v>728151.77999999991</v>
      </c>
      <c r="C21" s="977">
        <v>10049.019999999087</v>
      </c>
      <c r="D21" s="977">
        <v>10048.979999999996</v>
      </c>
      <c r="E21" s="977">
        <v>10049.000000000044</v>
      </c>
      <c r="F21" s="977">
        <v>278260.34999999998</v>
      </c>
      <c r="G21" s="978">
        <v>210213.8</v>
      </c>
      <c r="H21" s="979">
        <v>261284.75</v>
      </c>
      <c r="I21" s="966">
        <f t="shared" si="0"/>
        <v>1508057.679999999</v>
      </c>
      <c r="J21" s="967" t="s">
        <v>1183</v>
      </c>
    </row>
    <row r="22" spans="1:10" x14ac:dyDescent="0.35">
      <c r="A22" s="962" t="s">
        <v>215</v>
      </c>
      <c r="B22" s="968">
        <v>1835940.1300000013</v>
      </c>
      <c r="C22" s="968">
        <v>75511.289999999994</v>
      </c>
      <c r="D22" s="968">
        <v>77113.309999999576</v>
      </c>
      <c r="E22" s="968">
        <v>-27483.14</v>
      </c>
      <c r="F22" s="968">
        <v>-861109.85</v>
      </c>
      <c r="G22" s="978">
        <v>88626.06</v>
      </c>
      <c r="H22" s="979">
        <v>83406.540000000008</v>
      </c>
      <c r="I22" s="966">
        <f t="shared" si="0"/>
        <v>1272004.3400000012</v>
      </c>
      <c r="J22" s="967" t="s">
        <v>1182</v>
      </c>
    </row>
    <row r="23" spans="1:10" x14ac:dyDescent="0.35">
      <c r="A23" s="962" t="s">
        <v>287</v>
      </c>
      <c r="B23" s="963">
        <v>994674.92000000016</v>
      </c>
      <c r="C23" s="963">
        <v>40473.490000000005</v>
      </c>
      <c r="D23" s="963">
        <v>40473.490000000005</v>
      </c>
      <c r="E23" s="963">
        <v>38671.990000000005</v>
      </c>
      <c r="F23" s="963">
        <v>40473.490000000005</v>
      </c>
      <c r="G23" s="969">
        <v>39873</v>
      </c>
      <c r="H23" s="966">
        <v>40473.490000000005</v>
      </c>
      <c r="I23" s="966">
        <f t="shared" si="0"/>
        <v>1235113.8700000001</v>
      </c>
      <c r="J23" s="967" t="s">
        <v>1182</v>
      </c>
    </row>
    <row r="24" spans="1:10" x14ac:dyDescent="0.35">
      <c r="A24" s="962" t="s">
        <v>260</v>
      </c>
      <c r="B24" s="968">
        <v>0</v>
      </c>
      <c r="C24" s="968"/>
      <c r="D24" s="968"/>
      <c r="E24" s="968">
        <v>0</v>
      </c>
      <c r="F24" s="968"/>
      <c r="G24" s="964">
        <v>0</v>
      </c>
      <c r="H24" s="965"/>
      <c r="I24" s="966">
        <f t="shared" si="0"/>
        <v>0</v>
      </c>
      <c r="J24" s="967" t="s">
        <v>1208</v>
      </c>
    </row>
    <row r="25" spans="1:10" x14ac:dyDescent="0.35">
      <c r="A25" s="962" t="s">
        <v>264</v>
      </c>
      <c r="B25" s="968">
        <v>1034162.01</v>
      </c>
      <c r="C25" s="968"/>
      <c r="D25" s="968"/>
      <c r="E25" s="968"/>
      <c r="F25" s="968">
        <v>0</v>
      </c>
      <c r="G25" s="964"/>
      <c r="H25" s="965"/>
      <c r="I25" s="966">
        <v>1034162.01</v>
      </c>
      <c r="J25" s="967" t="s">
        <v>1182</v>
      </c>
    </row>
    <row r="26" spans="1:10" x14ac:dyDescent="0.35">
      <c r="A26" s="962" t="s">
        <v>267</v>
      </c>
      <c r="B26" s="968">
        <v>0</v>
      </c>
      <c r="C26" s="968"/>
      <c r="D26" s="968"/>
      <c r="E26" s="968"/>
      <c r="F26" s="977"/>
      <c r="G26" s="978">
        <v>437104.02</v>
      </c>
      <c r="H26" s="979">
        <v>563683.03</v>
      </c>
      <c r="I26" s="966">
        <f t="shared" si="0"/>
        <v>1000787.05</v>
      </c>
      <c r="J26" s="967" t="s">
        <v>1185</v>
      </c>
    </row>
    <row r="27" spans="1:10" x14ac:dyDescent="0.35">
      <c r="A27" s="962" t="s">
        <v>672</v>
      </c>
      <c r="B27" s="968">
        <v>0</v>
      </c>
      <c r="C27" s="968"/>
      <c r="D27" s="968"/>
      <c r="E27" s="968"/>
      <c r="F27" s="977"/>
      <c r="G27" s="978"/>
      <c r="H27" s="979">
        <v>977928.22</v>
      </c>
      <c r="I27" s="1014">
        <f t="shared" si="0"/>
        <v>977928.22</v>
      </c>
      <c r="J27" s="1015" t="s">
        <v>1187</v>
      </c>
    </row>
    <row r="28" spans="1:10" x14ac:dyDescent="0.35">
      <c r="A28" s="962" t="s">
        <v>670</v>
      </c>
      <c r="B28" s="963">
        <v>0</v>
      </c>
      <c r="C28" s="918">
        <v>0</v>
      </c>
      <c r="D28" s="918"/>
      <c r="E28" s="918"/>
      <c r="F28" s="963"/>
      <c r="G28" s="969"/>
      <c r="H28" s="966">
        <v>962863.91999999993</v>
      </c>
      <c r="I28" s="1014">
        <f t="shared" si="0"/>
        <v>962863.91999999993</v>
      </c>
      <c r="J28" s="1015" t="s">
        <v>1188</v>
      </c>
    </row>
    <row r="29" spans="1:10" x14ac:dyDescent="0.35">
      <c r="A29" s="962" t="s">
        <v>256</v>
      </c>
      <c r="B29" s="968">
        <v>607284.87999999966</v>
      </c>
      <c r="C29" s="977">
        <v>0</v>
      </c>
      <c r="D29" s="977"/>
      <c r="E29" s="977">
        <v>0</v>
      </c>
      <c r="F29" s="977"/>
      <c r="G29" s="980"/>
      <c r="H29" s="981">
        <v>219270.31</v>
      </c>
      <c r="I29" s="1014">
        <f t="shared" si="0"/>
        <v>826555.18999999971</v>
      </c>
      <c r="J29" s="1015" t="s">
        <v>1190</v>
      </c>
    </row>
    <row r="30" spans="1:10" x14ac:dyDescent="0.35">
      <c r="A30" s="962" t="s">
        <v>234</v>
      </c>
      <c r="B30" s="968">
        <v>271490.12</v>
      </c>
      <c r="C30" s="968">
        <v>91533.99</v>
      </c>
      <c r="D30" s="968">
        <v>98212.49</v>
      </c>
      <c r="E30" s="968">
        <v>81819.89</v>
      </c>
      <c r="F30" s="977">
        <v>97153.71</v>
      </c>
      <c r="G30" s="978">
        <v>91720.919999999984</v>
      </c>
      <c r="H30" s="979">
        <v>86352.69</v>
      </c>
      <c r="I30" s="966">
        <f t="shared" si="0"/>
        <v>818283.80999999982</v>
      </c>
      <c r="J30" s="973" t="s">
        <v>1189</v>
      </c>
    </row>
    <row r="31" spans="1:10" x14ac:dyDescent="0.35">
      <c r="A31" s="962" t="s">
        <v>673</v>
      </c>
      <c r="B31" s="968">
        <v>0</v>
      </c>
      <c r="C31" s="968">
        <v>0</v>
      </c>
      <c r="D31" s="968"/>
      <c r="E31" s="968"/>
      <c r="F31" s="968"/>
      <c r="G31" s="978"/>
      <c r="H31" s="979">
        <v>794379.77</v>
      </c>
      <c r="I31" s="966">
        <f t="shared" si="0"/>
        <v>794379.77</v>
      </c>
      <c r="J31" s="967" t="s">
        <v>1191</v>
      </c>
    </row>
    <row r="32" spans="1:10" x14ac:dyDescent="0.35">
      <c r="A32" s="962" t="s">
        <v>678</v>
      </c>
      <c r="B32" s="964">
        <v>0</v>
      </c>
      <c r="C32" s="968"/>
      <c r="D32" s="968"/>
      <c r="E32" s="968"/>
      <c r="F32" s="977">
        <v>0</v>
      </c>
      <c r="G32" s="978">
        <v>278223.7</v>
      </c>
      <c r="H32" s="982">
        <v>388132.68</v>
      </c>
      <c r="I32" s="966">
        <f t="shared" si="0"/>
        <v>666356.38</v>
      </c>
      <c r="J32" s="967" t="s">
        <v>1192</v>
      </c>
    </row>
    <row r="33" spans="1:10" x14ac:dyDescent="0.35">
      <c r="A33" s="962" t="s">
        <v>675</v>
      </c>
      <c r="B33" s="968">
        <v>663774.71000000008</v>
      </c>
      <c r="C33" s="968"/>
      <c r="D33" s="968"/>
      <c r="E33" s="968"/>
      <c r="F33" s="977"/>
      <c r="G33" s="978"/>
      <c r="H33" s="979"/>
      <c r="I33" s="966">
        <f t="shared" si="0"/>
        <v>663774.71000000008</v>
      </c>
      <c r="J33" s="967" t="s">
        <v>1182</v>
      </c>
    </row>
    <row r="34" spans="1:10" x14ac:dyDescent="0.35">
      <c r="A34" s="962" t="s">
        <v>218</v>
      </c>
      <c r="B34" s="918">
        <v>0</v>
      </c>
      <c r="C34" s="918"/>
      <c r="D34" s="918"/>
      <c r="E34" s="918">
        <v>104800.70000000158</v>
      </c>
      <c r="F34" s="963">
        <v>0</v>
      </c>
      <c r="G34" s="969"/>
      <c r="H34" s="979"/>
      <c r="I34" s="966">
        <f t="shared" si="0"/>
        <v>104800.70000000158</v>
      </c>
      <c r="J34" s="967" t="s">
        <v>1194</v>
      </c>
    </row>
    <row r="35" spans="1:10" x14ac:dyDescent="0.35">
      <c r="A35" s="962" t="s">
        <v>286</v>
      </c>
      <c r="B35" s="963">
        <v>604156.05999999994</v>
      </c>
      <c r="C35" s="963"/>
      <c r="D35" s="963"/>
      <c r="E35" s="963"/>
      <c r="F35" s="963"/>
      <c r="G35" s="969"/>
      <c r="H35" s="966"/>
      <c r="I35" s="966">
        <f t="shared" si="0"/>
        <v>604156.05999999994</v>
      </c>
      <c r="J35" s="967" t="s">
        <v>1182</v>
      </c>
    </row>
    <row r="36" spans="1:10" x14ac:dyDescent="0.35">
      <c r="A36" s="962" t="s">
        <v>237</v>
      </c>
      <c r="B36" s="963">
        <v>0</v>
      </c>
      <c r="C36" s="963"/>
      <c r="D36" s="963"/>
      <c r="E36" s="963"/>
      <c r="F36" s="963"/>
      <c r="G36" s="969"/>
      <c r="H36" s="966">
        <v>591682.48000000115</v>
      </c>
      <c r="I36" s="966">
        <f t="shared" si="0"/>
        <v>591682.48000000115</v>
      </c>
      <c r="J36" s="967" t="s">
        <v>1193</v>
      </c>
    </row>
    <row r="37" spans="1:10" x14ac:dyDescent="0.35">
      <c r="A37" s="962" t="s">
        <v>243</v>
      </c>
      <c r="B37" s="977">
        <v>583040</v>
      </c>
      <c r="C37" s="977"/>
      <c r="D37" s="977"/>
      <c r="E37" s="977"/>
      <c r="F37" s="977"/>
      <c r="G37" s="978"/>
      <c r="H37" s="979"/>
      <c r="I37" s="966">
        <f t="shared" si="0"/>
        <v>583040</v>
      </c>
      <c r="J37" s="967" t="s">
        <v>1182</v>
      </c>
    </row>
    <row r="38" spans="1:10" x14ac:dyDescent="0.35">
      <c r="A38" s="962" t="s">
        <v>270</v>
      </c>
      <c r="B38" s="918">
        <v>-71809.169000089198</v>
      </c>
      <c r="C38" s="963"/>
      <c r="D38" s="963"/>
      <c r="E38" s="963"/>
      <c r="F38" s="963"/>
      <c r="G38" s="969">
        <v>276409.34999999998</v>
      </c>
      <c r="H38" s="966">
        <v>285255.77</v>
      </c>
      <c r="I38" s="966">
        <f t="shared" si="0"/>
        <v>489855.95099991083</v>
      </c>
      <c r="J38" s="967" t="s">
        <v>1195</v>
      </c>
    </row>
    <row r="39" spans="1:10" x14ac:dyDescent="0.35">
      <c r="A39" s="962" t="s">
        <v>279</v>
      </c>
      <c r="B39" s="983">
        <v>145404.98000000001</v>
      </c>
      <c r="C39" s="977"/>
      <c r="D39" s="977"/>
      <c r="E39" s="977"/>
      <c r="F39" s="977"/>
      <c r="G39" s="978"/>
      <c r="H39" s="984"/>
      <c r="I39" s="966">
        <f t="shared" si="0"/>
        <v>145404.98000000001</v>
      </c>
      <c r="J39" s="967" t="s">
        <v>1182</v>
      </c>
    </row>
    <row r="40" spans="1:10" x14ac:dyDescent="0.35">
      <c r="A40" s="962" t="s">
        <v>509</v>
      </c>
      <c r="B40" s="977">
        <v>416348.5</v>
      </c>
      <c r="C40" s="968"/>
      <c r="D40" s="968"/>
      <c r="E40" s="968"/>
      <c r="F40" s="968"/>
      <c r="G40" s="985"/>
      <c r="H40" s="986"/>
      <c r="I40" s="966">
        <f t="shared" si="0"/>
        <v>416348.5</v>
      </c>
      <c r="J40" s="967" t="s">
        <v>1196</v>
      </c>
    </row>
    <row r="41" spans="1:10" x14ac:dyDescent="0.35">
      <c r="A41" s="987" t="s">
        <v>683</v>
      </c>
      <c r="B41" s="988">
        <v>219001.4</v>
      </c>
      <c r="C41" s="988"/>
      <c r="D41" s="988"/>
      <c r="E41" s="988">
        <v>58073.78</v>
      </c>
      <c r="F41" s="968">
        <v>74294.66</v>
      </c>
      <c r="G41" s="989">
        <v>53457.229999999996</v>
      </c>
      <c r="H41" s="984"/>
      <c r="I41" s="966">
        <f t="shared" si="0"/>
        <v>404827.06999999995</v>
      </c>
      <c r="J41" s="967" t="s">
        <v>1197</v>
      </c>
    </row>
    <row r="42" spans="1:10" x14ac:dyDescent="0.35">
      <c r="A42" s="962" t="s">
        <v>269</v>
      </c>
      <c r="B42" s="963">
        <v>0</v>
      </c>
      <c r="C42" s="963"/>
      <c r="D42" s="963"/>
      <c r="E42" s="963"/>
      <c r="F42" s="963">
        <v>41049.32</v>
      </c>
      <c r="G42" s="969">
        <v>300925.90000000002</v>
      </c>
      <c r="H42" s="990">
        <v>15173.86</v>
      </c>
      <c r="I42" s="966">
        <f t="shared" si="0"/>
        <v>357149.08</v>
      </c>
      <c r="J42" s="967" t="s">
        <v>1199</v>
      </c>
    </row>
    <row r="43" spans="1:10" x14ac:dyDescent="0.35">
      <c r="A43" s="962" t="s">
        <v>216</v>
      </c>
      <c r="B43" s="977">
        <v>297028.47999999998</v>
      </c>
      <c r="C43" s="968">
        <v>16524.41</v>
      </c>
      <c r="D43" s="968"/>
      <c r="E43" s="968"/>
      <c r="F43" s="968"/>
      <c r="G43" s="964"/>
      <c r="H43" s="965"/>
      <c r="I43" s="966">
        <f t="shared" si="0"/>
        <v>313552.88999999996</v>
      </c>
      <c r="J43" s="967" t="s">
        <v>1196</v>
      </c>
    </row>
    <row r="44" spans="1:10" x14ac:dyDescent="0.35">
      <c r="A44" s="962" t="s">
        <v>111</v>
      </c>
      <c r="B44" s="977">
        <v>293146.57999999996</v>
      </c>
      <c r="C44" s="977">
        <v>788</v>
      </c>
      <c r="D44" s="977">
        <v>17875.46</v>
      </c>
      <c r="E44" s="977"/>
      <c r="F44" s="968"/>
      <c r="G44" s="978"/>
      <c r="H44" s="979"/>
      <c r="I44" s="966">
        <f t="shared" si="0"/>
        <v>311810.03999999998</v>
      </c>
      <c r="J44" s="967" t="s">
        <v>1196</v>
      </c>
    </row>
    <row r="45" spans="1:10" x14ac:dyDescent="0.35">
      <c r="A45" s="962" t="s">
        <v>674</v>
      </c>
      <c r="B45" s="968">
        <v>259311.82000000158</v>
      </c>
      <c r="C45" s="977"/>
      <c r="D45" s="977"/>
      <c r="E45" s="977"/>
      <c r="F45" s="977"/>
      <c r="G45" s="978"/>
      <c r="H45" s="979">
        <v>21273.35</v>
      </c>
      <c r="I45" s="966">
        <f t="shared" si="0"/>
        <v>280585.17000000156</v>
      </c>
      <c r="J45" s="967" t="s">
        <v>1198</v>
      </c>
    </row>
    <row r="46" spans="1:10" x14ac:dyDescent="0.35">
      <c r="A46" s="962" t="s">
        <v>219</v>
      </c>
      <c r="B46" s="977">
        <v>227475</v>
      </c>
      <c r="C46" s="968">
        <v>8749</v>
      </c>
      <c r="D46" s="968">
        <v>8749</v>
      </c>
      <c r="E46" s="968">
        <v>8749</v>
      </c>
      <c r="F46" s="968">
        <v>8749</v>
      </c>
      <c r="G46" s="964">
        <v>8749</v>
      </c>
      <c r="H46" s="965">
        <v>8749</v>
      </c>
      <c r="I46" s="966">
        <f t="shared" si="0"/>
        <v>279969</v>
      </c>
      <c r="J46" s="967" t="s">
        <v>1182</v>
      </c>
    </row>
    <row r="47" spans="1:10" x14ac:dyDescent="0.35">
      <c r="A47" s="962" t="s">
        <v>222</v>
      </c>
      <c r="B47" s="977">
        <v>179613</v>
      </c>
      <c r="C47" s="977">
        <v>8553</v>
      </c>
      <c r="D47" s="977">
        <v>8553</v>
      </c>
      <c r="E47" s="977">
        <v>8553</v>
      </c>
      <c r="F47" s="977">
        <v>8553</v>
      </c>
      <c r="G47" s="978">
        <v>8553</v>
      </c>
      <c r="H47" s="979">
        <v>8553</v>
      </c>
      <c r="I47" s="966">
        <f t="shared" si="0"/>
        <v>230931</v>
      </c>
      <c r="J47" s="967" t="s">
        <v>1182</v>
      </c>
    </row>
    <row r="48" spans="1:10" x14ac:dyDescent="0.35">
      <c r="A48" s="962" t="s">
        <v>246</v>
      </c>
      <c r="B48" s="977">
        <v>162792</v>
      </c>
      <c r="C48" s="977">
        <v>7752</v>
      </c>
      <c r="D48" s="977">
        <v>7752</v>
      </c>
      <c r="E48" s="977">
        <v>7752</v>
      </c>
      <c r="F48" s="977">
        <v>7752</v>
      </c>
      <c r="G48" s="991">
        <v>7752</v>
      </c>
      <c r="H48" s="992">
        <v>7752</v>
      </c>
      <c r="I48" s="966">
        <f t="shared" si="0"/>
        <v>209304</v>
      </c>
      <c r="J48" s="967" t="s">
        <v>1182</v>
      </c>
    </row>
    <row r="49" spans="1:10" x14ac:dyDescent="0.35">
      <c r="A49" s="962" t="s">
        <v>680</v>
      </c>
      <c r="B49" s="968">
        <v>0</v>
      </c>
      <c r="C49" s="968"/>
      <c r="D49" s="968"/>
      <c r="E49" s="968"/>
      <c r="F49" s="968"/>
      <c r="G49" s="978"/>
      <c r="H49" s="979">
        <v>195645.68</v>
      </c>
      <c r="I49" s="966">
        <f t="shared" si="0"/>
        <v>195645.68</v>
      </c>
      <c r="J49" s="967" t="s">
        <v>1200</v>
      </c>
    </row>
    <row r="50" spans="1:10" x14ac:dyDescent="0.35">
      <c r="A50" s="962" t="s">
        <v>276</v>
      </c>
      <c r="B50" s="968">
        <v>11719.379999999946</v>
      </c>
      <c r="C50" s="968"/>
      <c r="D50" s="968">
        <v>0</v>
      </c>
      <c r="E50" s="968"/>
      <c r="F50" s="968"/>
      <c r="G50" s="978"/>
      <c r="H50" s="979">
        <v>166198.41</v>
      </c>
      <c r="I50" s="966">
        <f t="shared" si="0"/>
        <v>177917.78999999995</v>
      </c>
      <c r="J50" s="967" t="s">
        <v>1201</v>
      </c>
    </row>
    <row r="51" spans="1:10" x14ac:dyDescent="0.35">
      <c r="A51" s="987" t="s">
        <v>677</v>
      </c>
      <c r="B51" s="977">
        <v>13110.098300178106</v>
      </c>
      <c r="C51" s="968"/>
      <c r="D51" s="968"/>
      <c r="E51" s="968">
        <v>19399.05</v>
      </c>
      <c r="F51" s="968">
        <v>25862.25</v>
      </c>
      <c r="G51" s="964">
        <v>48163.22</v>
      </c>
      <c r="H51" s="964">
        <v>47811.82</v>
      </c>
      <c r="I51" s="966">
        <f t="shared" si="0"/>
        <v>154346.4383001781</v>
      </c>
      <c r="J51" s="967" t="s">
        <v>1202</v>
      </c>
    </row>
    <row r="52" spans="1:10" x14ac:dyDescent="0.35">
      <c r="A52" s="325" t="s">
        <v>686</v>
      </c>
      <c r="B52" s="977">
        <v>43609.64</v>
      </c>
      <c r="C52" s="968">
        <v>48740.7</v>
      </c>
      <c r="D52" s="968"/>
      <c r="E52" s="968">
        <v>-94256.51999999999</v>
      </c>
      <c r="F52" s="968">
        <v>50124.45</v>
      </c>
      <c r="G52" s="964">
        <v>29769.05</v>
      </c>
      <c r="H52" s="965">
        <v>30234.38</v>
      </c>
      <c r="I52" s="966">
        <f t="shared" si="0"/>
        <v>108221.70000000001</v>
      </c>
      <c r="J52" s="967" t="s">
        <v>1198</v>
      </c>
    </row>
    <row r="53" spans="1:10" x14ac:dyDescent="0.35">
      <c r="A53" s="962" t="s">
        <v>685</v>
      </c>
      <c r="B53" s="968">
        <v>24969.000000000029</v>
      </c>
      <c r="C53" s="968">
        <v>8323</v>
      </c>
      <c r="D53" s="968"/>
      <c r="E53" s="968"/>
      <c r="F53" s="977"/>
      <c r="G53" s="978">
        <v>0</v>
      </c>
      <c r="H53" s="979">
        <v>63576.07</v>
      </c>
      <c r="I53" s="966">
        <f t="shared" si="0"/>
        <v>96868.070000000036</v>
      </c>
      <c r="J53" s="967" t="s">
        <v>1203</v>
      </c>
    </row>
    <row r="54" spans="1:10" x14ac:dyDescent="0.35">
      <c r="A54" s="962" t="s">
        <v>258</v>
      </c>
      <c r="B54" s="968">
        <v>0.1</v>
      </c>
      <c r="C54" s="968">
        <v>0</v>
      </c>
      <c r="D54" s="968">
        <v>0</v>
      </c>
      <c r="E54" s="977">
        <v>0</v>
      </c>
      <c r="F54" s="977">
        <v>0</v>
      </c>
      <c r="G54" s="978"/>
      <c r="H54" s="979">
        <v>95450</v>
      </c>
      <c r="I54" s="966">
        <f t="shared" si="0"/>
        <v>95450.1</v>
      </c>
      <c r="J54" s="967" t="s">
        <v>1203</v>
      </c>
    </row>
    <row r="55" spans="1:10" x14ac:dyDescent="0.35">
      <c r="A55" s="962" t="s">
        <v>459</v>
      </c>
      <c r="B55" s="963">
        <v>94994.15</v>
      </c>
      <c r="C55" s="918"/>
      <c r="D55" s="918"/>
      <c r="E55" s="918"/>
      <c r="F55" s="918"/>
      <c r="G55" s="975"/>
      <c r="H55" s="976"/>
      <c r="I55" s="966">
        <f t="shared" si="0"/>
        <v>94994.15</v>
      </c>
      <c r="J55" s="967" t="s">
        <v>1182</v>
      </c>
    </row>
    <row r="56" spans="1:10" x14ac:dyDescent="0.35">
      <c r="A56" s="962" t="s">
        <v>271</v>
      </c>
      <c r="B56" s="968">
        <v>0</v>
      </c>
      <c r="C56" s="968"/>
      <c r="D56" s="968"/>
      <c r="E56" s="968"/>
      <c r="F56" s="977"/>
      <c r="G56" s="964"/>
      <c r="H56" s="965">
        <v>86926.720000000001</v>
      </c>
      <c r="I56" s="966">
        <f t="shared" si="0"/>
        <v>86926.720000000001</v>
      </c>
      <c r="J56" s="967" t="s">
        <v>1203</v>
      </c>
    </row>
    <row r="57" spans="1:10" x14ac:dyDescent="0.35">
      <c r="A57" s="962" t="s">
        <v>1040</v>
      </c>
      <c r="B57" s="977">
        <v>70508.390000000014</v>
      </c>
      <c r="C57" s="968"/>
      <c r="D57" s="968"/>
      <c r="E57" s="968">
        <v>2462.2600000000002</v>
      </c>
      <c r="F57" s="968">
        <v>5210.67</v>
      </c>
      <c r="G57" s="964"/>
      <c r="H57" s="965"/>
      <c r="I57" s="966">
        <f t="shared" si="0"/>
        <v>78181.320000000007</v>
      </c>
      <c r="J57" s="967" t="s">
        <v>1182</v>
      </c>
    </row>
    <row r="58" spans="1:10" x14ac:dyDescent="0.35">
      <c r="A58" s="962" t="s">
        <v>503</v>
      </c>
      <c r="B58" s="977">
        <v>73202.629999999976</v>
      </c>
      <c r="C58" s="968"/>
      <c r="D58" s="968"/>
      <c r="E58" s="968"/>
      <c r="F58" s="968"/>
      <c r="G58" s="964"/>
      <c r="H58" s="965"/>
      <c r="I58" s="966">
        <f t="shared" si="0"/>
        <v>73202.629999999976</v>
      </c>
      <c r="J58" s="967" t="s">
        <v>1182</v>
      </c>
    </row>
    <row r="59" spans="1:10" x14ac:dyDescent="0.35">
      <c r="A59" s="962" t="s">
        <v>525</v>
      </c>
      <c r="B59" s="977">
        <v>64989.42</v>
      </c>
      <c r="C59" s="968"/>
      <c r="D59" s="968"/>
      <c r="E59" s="968"/>
      <c r="F59" s="968"/>
      <c r="G59" s="964"/>
      <c r="H59" s="965"/>
      <c r="I59" s="966">
        <f t="shared" si="0"/>
        <v>64989.42</v>
      </c>
      <c r="J59" s="967" t="s">
        <v>1182</v>
      </c>
    </row>
    <row r="60" spans="1:10" x14ac:dyDescent="0.35">
      <c r="A60" s="962" t="s">
        <v>255</v>
      </c>
      <c r="B60" s="968">
        <v>49941.420000000042</v>
      </c>
      <c r="C60" s="968"/>
      <c r="D60" s="968"/>
      <c r="E60" s="968"/>
      <c r="F60" s="968"/>
      <c r="G60" s="989">
        <v>0</v>
      </c>
      <c r="H60" s="993"/>
      <c r="I60" s="966">
        <f t="shared" si="0"/>
        <v>49941.420000000042</v>
      </c>
      <c r="J60" s="967" t="s">
        <v>1198</v>
      </c>
    </row>
    <row r="61" spans="1:10" x14ac:dyDescent="0.35">
      <c r="A61" s="962" t="s">
        <v>235</v>
      </c>
      <c r="B61" s="968">
        <v>987.6499999999869</v>
      </c>
      <c r="C61" s="968"/>
      <c r="D61" s="968"/>
      <c r="E61" s="977"/>
      <c r="F61" s="977"/>
      <c r="G61" s="964">
        <v>1075.8000000000029</v>
      </c>
      <c r="H61" s="965">
        <v>53470.2</v>
      </c>
      <c r="I61" s="966">
        <f t="shared" si="0"/>
        <v>55533.649999999987</v>
      </c>
      <c r="J61" s="967" t="s">
        <v>1203</v>
      </c>
    </row>
    <row r="62" spans="1:10" x14ac:dyDescent="0.35">
      <c r="A62" s="325" t="s">
        <v>693</v>
      </c>
      <c r="B62" s="977">
        <v>32572.5</v>
      </c>
      <c r="C62" s="968"/>
      <c r="D62" s="968"/>
      <c r="E62" s="968"/>
      <c r="F62" s="968"/>
      <c r="G62" s="964"/>
      <c r="H62" s="965"/>
      <c r="I62" s="966">
        <f t="shared" si="0"/>
        <v>32572.5</v>
      </c>
      <c r="J62" s="967" t="s">
        <v>1182</v>
      </c>
    </row>
    <row r="63" spans="1:10" x14ac:dyDescent="0.35">
      <c r="A63" s="962" t="s">
        <v>684</v>
      </c>
      <c r="B63" s="977">
        <v>30474.279999999984</v>
      </c>
      <c r="C63" s="968"/>
      <c r="D63" s="968"/>
      <c r="E63" s="968"/>
      <c r="F63" s="968"/>
      <c r="G63" s="964"/>
      <c r="H63" s="965"/>
      <c r="I63" s="966">
        <f t="shared" si="0"/>
        <v>30474.279999999984</v>
      </c>
      <c r="J63" s="967" t="s">
        <v>1182</v>
      </c>
    </row>
    <row r="64" spans="1:10" x14ac:dyDescent="0.35">
      <c r="A64" s="962" t="s">
        <v>688</v>
      </c>
      <c r="B64" s="968">
        <v>23503.47</v>
      </c>
      <c r="C64" s="968"/>
      <c r="D64" s="968"/>
      <c r="E64" s="968"/>
      <c r="F64" s="977">
        <v>0</v>
      </c>
      <c r="G64" s="978"/>
      <c r="H64" s="979">
        <v>3646.15</v>
      </c>
      <c r="I64" s="966">
        <f t="shared" si="0"/>
        <v>27149.620000000003</v>
      </c>
      <c r="J64" s="973" t="s">
        <v>1209</v>
      </c>
    </row>
    <row r="65" spans="1:10" x14ac:dyDescent="0.35">
      <c r="A65" s="962" t="s">
        <v>676</v>
      </c>
      <c r="B65" s="968"/>
      <c r="C65" s="968"/>
      <c r="D65" s="968"/>
      <c r="E65" s="968"/>
      <c r="F65" s="968"/>
      <c r="G65" s="964"/>
      <c r="H65" s="965"/>
      <c r="I65" s="966">
        <f t="shared" si="0"/>
        <v>0</v>
      </c>
      <c r="J65" s="967" t="s">
        <v>1208</v>
      </c>
    </row>
    <row r="66" spans="1:10" ht="29" x14ac:dyDescent="0.35">
      <c r="A66" s="962" t="s">
        <v>695</v>
      </c>
      <c r="B66" s="977">
        <v>8626.7799999999988</v>
      </c>
      <c r="C66" s="968"/>
      <c r="D66" s="968"/>
      <c r="E66" s="968">
        <v>11534.36</v>
      </c>
      <c r="F66" s="968"/>
      <c r="G66" s="964"/>
      <c r="H66" s="965"/>
      <c r="I66" s="966">
        <f t="shared" si="0"/>
        <v>20161.14</v>
      </c>
      <c r="J66" s="973" t="s">
        <v>1211</v>
      </c>
    </row>
    <row r="67" spans="1:10" x14ac:dyDescent="0.35">
      <c r="A67" s="962" t="s">
        <v>697</v>
      </c>
      <c r="B67" s="963">
        <v>18446.39</v>
      </c>
      <c r="C67" s="918"/>
      <c r="D67" s="918"/>
      <c r="E67" s="918"/>
      <c r="F67" s="918"/>
      <c r="G67" s="975"/>
      <c r="H67" s="976"/>
      <c r="I67" s="966">
        <f t="shared" si="0"/>
        <v>18446.39</v>
      </c>
      <c r="J67" s="967" t="s">
        <v>1182</v>
      </c>
    </row>
    <row r="68" spans="1:10" x14ac:dyDescent="0.35">
      <c r="A68" s="962" t="s">
        <v>480</v>
      </c>
      <c r="B68" s="977">
        <v>18381.95</v>
      </c>
      <c r="C68" s="968"/>
      <c r="D68" s="968"/>
      <c r="E68" s="968"/>
      <c r="F68" s="968"/>
      <c r="G68" s="964"/>
      <c r="H68" s="965"/>
      <c r="I68" s="966">
        <f t="shared" si="0"/>
        <v>18381.95</v>
      </c>
      <c r="J68" s="967" t="s">
        <v>1182</v>
      </c>
    </row>
    <row r="69" spans="1:10" x14ac:dyDescent="0.35">
      <c r="A69" s="987" t="s">
        <v>691</v>
      </c>
      <c r="B69" s="977">
        <v>17873.900000000001</v>
      </c>
      <c r="C69" s="977"/>
      <c r="D69" s="977"/>
      <c r="E69" s="968"/>
      <c r="F69" s="977"/>
      <c r="G69" s="978"/>
      <c r="H69" s="979"/>
      <c r="I69" s="966">
        <f t="shared" ref="I69:I101" si="1">SUM(B69:H69)</f>
        <v>17873.900000000001</v>
      </c>
      <c r="J69" s="967" t="s">
        <v>1182</v>
      </c>
    </row>
    <row r="70" spans="1:10" x14ac:dyDescent="0.35">
      <c r="A70" s="325" t="s">
        <v>692</v>
      </c>
      <c r="B70" s="977">
        <v>16268.82</v>
      </c>
      <c r="C70" s="968"/>
      <c r="D70" s="968"/>
      <c r="E70" s="968"/>
      <c r="F70" s="968"/>
      <c r="G70" s="964"/>
      <c r="H70" s="965"/>
      <c r="I70" s="966">
        <f t="shared" si="1"/>
        <v>16268.82</v>
      </c>
      <c r="J70" s="967" t="s">
        <v>1182</v>
      </c>
    </row>
    <row r="71" spans="1:10" x14ac:dyDescent="0.35">
      <c r="A71" s="962" t="s">
        <v>250</v>
      </c>
      <c r="B71" s="977">
        <v>15396</v>
      </c>
      <c r="C71" s="968"/>
      <c r="D71" s="968"/>
      <c r="E71" s="968"/>
      <c r="F71" s="968"/>
      <c r="G71" s="964"/>
      <c r="H71" s="965"/>
      <c r="I71" s="966">
        <f t="shared" si="1"/>
        <v>15396</v>
      </c>
      <c r="J71" s="967" t="s">
        <v>1182</v>
      </c>
    </row>
    <row r="72" spans="1:10" x14ac:dyDescent="0.35">
      <c r="A72" s="962" t="s">
        <v>1177</v>
      </c>
      <c r="B72" s="977">
        <v>0</v>
      </c>
      <c r="C72" s="968"/>
      <c r="D72" s="968"/>
      <c r="E72" s="968">
        <v>0</v>
      </c>
      <c r="F72" s="968">
        <v>0</v>
      </c>
      <c r="G72" s="964"/>
      <c r="H72" s="965">
        <v>12805.6</v>
      </c>
      <c r="I72" s="966">
        <f t="shared" si="1"/>
        <v>12805.6</v>
      </c>
      <c r="J72" s="973" t="s">
        <v>1210</v>
      </c>
    </row>
    <row r="73" spans="1:10" x14ac:dyDescent="0.35">
      <c r="A73" s="962" t="s">
        <v>272</v>
      </c>
      <c r="B73" s="977">
        <v>0</v>
      </c>
      <c r="C73" s="977"/>
      <c r="D73" s="977"/>
      <c r="E73" s="977"/>
      <c r="F73" s="977"/>
      <c r="G73" s="978"/>
      <c r="H73" s="979">
        <v>10127.299999999999</v>
      </c>
      <c r="I73" s="966">
        <f t="shared" si="1"/>
        <v>10127.299999999999</v>
      </c>
      <c r="J73" s="967" t="s">
        <v>1203</v>
      </c>
    </row>
    <row r="74" spans="1:10" x14ac:dyDescent="0.35">
      <c r="A74" s="962" t="s">
        <v>502</v>
      </c>
      <c r="B74" s="977">
        <v>8773.1399999999958</v>
      </c>
      <c r="C74" s="968"/>
      <c r="D74" s="968"/>
      <c r="E74" s="968"/>
      <c r="F74" s="968"/>
      <c r="G74" s="964"/>
      <c r="H74" s="965"/>
      <c r="I74" s="966">
        <f t="shared" si="1"/>
        <v>8773.1399999999958</v>
      </c>
      <c r="J74" s="967" t="s">
        <v>1182</v>
      </c>
    </row>
    <row r="75" spans="1:10" x14ac:dyDescent="0.35">
      <c r="A75" s="325" t="s">
        <v>505</v>
      </c>
      <c r="B75" s="977">
        <v>8345.2899999999991</v>
      </c>
      <c r="C75" s="968"/>
      <c r="D75" s="968"/>
      <c r="E75" s="968"/>
      <c r="F75" s="968"/>
      <c r="G75" s="964"/>
      <c r="H75" s="965"/>
      <c r="I75" s="966">
        <f t="shared" si="1"/>
        <v>8345.2899999999991</v>
      </c>
      <c r="J75" s="967" t="s">
        <v>1182</v>
      </c>
    </row>
    <row r="76" spans="1:10" x14ac:dyDescent="0.35">
      <c r="A76" s="962" t="s">
        <v>128</v>
      </c>
      <c r="B76" s="977">
        <v>834.78</v>
      </c>
      <c r="C76" s="968"/>
      <c r="D76" s="968"/>
      <c r="E76" s="968"/>
      <c r="F76" s="968"/>
      <c r="G76" s="964"/>
      <c r="H76" s="965"/>
      <c r="I76" s="966">
        <f t="shared" si="1"/>
        <v>834.78</v>
      </c>
      <c r="J76" s="967" t="s">
        <v>1182</v>
      </c>
    </row>
    <row r="77" spans="1:10" x14ac:dyDescent="0.35">
      <c r="A77" s="962" t="s">
        <v>508</v>
      </c>
      <c r="B77" s="977">
        <v>731.7</v>
      </c>
      <c r="C77" s="968"/>
      <c r="D77" s="968"/>
      <c r="E77" s="968"/>
      <c r="F77" s="968"/>
      <c r="G77" s="964"/>
      <c r="H77" s="965"/>
      <c r="I77" s="966">
        <f t="shared" si="1"/>
        <v>731.7</v>
      </c>
      <c r="J77" s="967" t="s">
        <v>1182</v>
      </c>
    </row>
    <row r="78" spans="1:10" x14ac:dyDescent="0.35">
      <c r="A78" s="962" t="s">
        <v>682</v>
      </c>
      <c r="B78" s="968">
        <v>-2</v>
      </c>
      <c r="C78" s="968"/>
      <c r="D78" s="968"/>
      <c r="E78" s="968"/>
      <c r="F78" s="968"/>
      <c r="G78" s="994"/>
      <c r="H78" s="995"/>
      <c r="I78" s="966">
        <f t="shared" si="1"/>
        <v>-2</v>
      </c>
      <c r="J78" s="967"/>
    </row>
    <row r="79" spans="1:10" x14ac:dyDescent="0.35">
      <c r="A79" s="962" t="s">
        <v>699</v>
      </c>
      <c r="B79" s="963">
        <v>-36.199999999953434</v>
      </c>
      <c r="C79" s="963"/>
      <c r="D79" s="963"/>
      <c r="E79" s="918"/>
      <c r="F79" s="918"/>
      <c r="G79" s="996"/>
      <c r="H79" s="997"/>
      <c r="I79" s="966">
        <f t="shared" si="1"/>
        <v>-36.199999999953434</v>
      </c>
      <c r="J79" s="967"/>
    </row>
    <row r="80" spans="1:10" x14ac:dyDescent="0.35">
      <c r="A80" s="962" t="s">
        <v>679</v>
      </c>
      <c r="B80" s="977">
        <v>-133.73999999999069</v>
      </c>
      <c r="C80" s="968"/>
      <c r="D80" s="968"/>
      <c r="E80" s="968"/>
      <c r="F80" s="968"/>
      <c r="G80" s="964"/>
      <c r="H80" s="965"/>
      <c r="I80" s="966">
        <f t="shared" si="1"/>
        <v>-133.73999999999069</v>
      </c>
      <c r="J80" s="967"/>
    </row>
    <row r="81" spans="1:10" x14ac:dyDescent="0.35">
      <c r="A81" s="962" t="s">
        <v>289</v>
      </c>
      <c r="B81" s="963">
        <v>-501.41</v>
      </c>
      <c r="C81" s="918"/>
      <c r="D81" s="918"/>
      <c r="E81" s="918"/>
      <c r="F81" s="918"/>
      <c r="G81" s="975"/>
      <c r="H81" s="976"/>
      <c r="I81" s="966">
        <f t="shared" si="1"/>
        <v>-501.41</v>
      </c>
      <c r="J81" s="967"/>
    </row>
    <row r="82" spans="1:10" x14ac:dyDescent="0.35">
      <c r="A82" s="962" t="s">
        <v>273</v>
      </c>
      <c r="B82" s="968">
        <v>-2184.6839999999829</v>
      </c>
      <c r="C82" s="968"/>
      <c r="D82" s="968"/>
      <c r="E82" s="968"/>
      <c r="F82" s="968"/>
      <c r="G82" s="978"/>
      <c r="H82" s="979"/>
      <c r="I82" s="966">
        <f t="shared" si="1"/>
        <v>-2184.6839999999829</v>
      </c>
      <c r="J82" s="967"/>
    </row>
    <row r="83" spans="1:10" x14ac:dyDescent="0.35">
      <c r="A83" s="962" t="s">
        <v>283</v>
      </c>
      <c r="B83" s="963">
        <v>-2348.9</v>
      </c>
      <c r="C83" s="918"/>
      <c r="D83" s="918"/>
      <c r="E83" s="918"/>
      <c r="F83" s="918"/>
      <c r="G83" s="975"/>
      <c r="H83" s="976"/>
      <c r="I83" s="966">
        <f t="shared" si="1"/>
        <v>-2348.9</v>
      </c>
      <c r="J83" s="967"/>
    </row>
    <row r="84" spans="1:10" x14ac:dyDescent="0.35">
      <c r="A84" s="962" t="s">
        <v>700</v>
      </c>
      <c r="B84" s="918">
        <v>-2858.9200000000346</v>
      </c>
      <c r="C84" s="918"/>
      <c r="D84" s="918"/>
      <c r="E84" s="963"/>
      <c r="F84" s="963"/>
      <c r="G84" s="969"/>
      <c r="H84" s="966"/>
      <c r="I84" s="966">
        <f t="shared" si="1"/>
        <v>-2858.9200000000346</v>
      </c>
      <c r="J84" s="967"/>
    </row>
    <row r="85" spans="1:10" x14ac:dyDescent="0.35">
      <c r="A85" s="962" t="s">
        <v>281</v>
      </c>
      <c r="B85" s="963">
        <v>-4655.5600000000004</v>
      </c>
      <c r="C85" s="918"/>
      <c r="D85" s="918"/>
      <c r="E85" s="918"/>
      <c r="F85" s="918"/>
      <c r="G85" s="975"/>
      <c r="H85" s="976"/>
      <c r="I85" s="966">
        <f t="shared" si="1"/>
        <v>-4655.5600000000004</v>
      </c>
      <c r="J85" s="967"/>
    </row>
    <row r="86" spans="1:10" x14ac:dyDescent="0.35">
      <c r="A86" s="962" t="s">
        <v>244</v>
      </c>
      <c r="B86" s="963">
        <v>-4925.8500000000004</v>
      </c>
      <c r="C86" s="918"/>
      <c r="D86" s="918"/>
      <c r="E86" s="918"/>
      <c r="F86" s="918"/>
      <c r="G86" s="975"/>
      <c r="H86" s="976"/>
      <c r="I86" s="966">
        <f t="shared" si="1"/>
        <v>-4925.8500000000004</v>
      </c>
      <c r="J86" s="967"/>
    </row>
    <row r="87" spans="1:10" x14ac:dyDescent="0.35">
      <c r="A87" s="962" t="s">
        <v>253</v>
      </c>
      <c r="B87" s="963">
        <v>-5959.03</v>
      </c>
      <c r="C87" s="918"/>
      <c r="D87" s="918"/>
      <c r="E87" s="918"/>
      <c r="F87" s="918"/>
      <c r="G87" s="975"/>
      <c r="H87" s="976"/>
      <c r="I87" s="966">
        <f t="shared" si="1"/>
        <v>-5959.03</v>
      </c>
      <c r="J87" s="967"/>
    </row>
    <row r="88" spans="1:10" x14ac:dyDescent="0.35">
      <c r="A88" s="962" t="s">
        <v>291</v>
      </c>
      <c r="B88" s="963">
        <v>-6676.28</v>
      </c>
      <c r="C88" s="918"/>
      <c r="D88" s="918"/>
      <c r="E88" s="918"/>
      <c r="F88" s="918"/>
      <c r="G88" s="975"/>
      <c r="H88" s="976"/>
      <c r="I88" s="966">
        <f t="shared" si="1"/>
        <v>-6676.28</v>
      </c>
      <c r="J88" s="967"/>
    </row>
    <row r="89" spans="1:10" x14ac:dyDescent="0.35">
      <c r="A89" s="962" t="s">
        <v>102</v>
      </c>
      <c r="B89" s="963">
        <v>-21803.759999999998</v>
      </c>
      <c r="C89" s="918"/>
      <c r="D89" s="918"/>
      <c r="E89" s="918"/>
      <c r="F89" s="918"/>
      <c r="G89" s="975"/>
      <c r="H89" s="976"/>
      <c r="I89" s="966">
        <f t="shared" si="1"/>
        <v>-21803.759999999998</v>
      </c>
      <c r="J89" s="967"/>
    </row>
    <row r="90" spans="1:10" x14ac:dyDescent="0.35">
      <c r="A90" s="962" t="s">
        <v>122</v>
      </c>
      <c r="B90" s="963">
        <v>-29297.360000000001</v>
      </c>
      <c r="C90" s="918"/>
      <c r="D90" s="918"/>
      <c r="E90" s="918"/>
      <c r="F90" s="918"/>
      <c r="G90" s="975"/>
      <c r="H90" s="976"/>
      <c r="I90" s="966">
        <f t="shared" si="1"/>
        <v>-29297.360000000001</v>
      </c>
      <c r="J90" s="967"/>
    </row>
    <row r="91" spans="1:10" x14ac:dyDescent="0.35">
      <c r="A91" s="962" t="s">
        <v>132</v>
      </c>
      <c r="B91" s="963">
        <v>-35689.800000000003</v>
      </c>
      <c r="C91" s="918"/>
      <c r="D91" s="918"/>
      <c r="E91" s="918"/>
      <c r="F91" s="918"/>
      <c r="G91" s="975"/>
      <c r="H91" s="976"/>
      <c r="I91" s="966">
        <f t="shared" si="1"/>
        <v>-35689.800000000003</v>
      </c>
      <c r="J91" s="967"/>
    </row>
    <row r="92" spans="1:10" x14ac:dyDescent="0.35">
      <c r="A92" s="998" t="s">
        <v>107</v>
      </c>
      <c r="B92" s="963">
        <v>-39944.120000000003</v>
      </c>
      <c r="C92" s="918"/>
      <c r="D92" s="918"/>
      <c r="E92" s="918"/>
      <c r="F92" s="918"/>
      <c r="G92" s="975"/>
      <c r="H92" s="976"/>
      <c r="I92" s="966">
        <f t="shared" si="1"/>
        <v>-39944.120000000003</v>
      </c>
      <c r="J92" s="967"/>
    </row>
    <row r="93" spans="1:10" x14ac:dyDescent="0.35">
      <c r="A93" s="998" t="s">
        <v>689</v>
      </c>
      <c r="B93" s="977">
        <v>0</v>
      </c>
      <c r="C93" s="968">
        <v>0</v>
      </c>
      <c r="D93" s="968">
        <v>0</v>
      </c>
      <c r="E93" s="977"/>
      <c r="F93" s="977">
        <v>0</v>
      </c>
      <c r="G93" s="978"/>
      <c r="H93" s="979">
        <v>-65489.21</v>
      </c>
      <c r="I93" s="966">
        <f t="shared" si="1"/>
        <v>-65489.21</v>
      </c>
      <c r="J93" s="967"/>
    </row>
    <row r="94" spans="1:10" x14ac:dyDescent="0.35">
      <c r="A94" s="998" t="s">
        <v>221</v>
      </c>
      <c r="B94" s="963">
        <v>-113497.32</v>
      </c>
      <c r="C94" s="918"/>
      <c r="D94" s="918"/>
      <c r="E94" s="918"/>
      <c r="F94" s="918"/>
      <c r="G94" s="975"/>
      <c r="H94" s="976"/>
      <c r="I94" s="966">
        <f t="shared" si="1"/>
        <v>-113497.32</v>
      </c>
      <c r="J94" s="967"/>
    </row>
    <row r="95" spans="1:10" x14ac:dyDescent="0.35">
      <c r="A95" s="998" t="s">
        <v>249</v>
      </c>
      <c r="B95" s="963">
        <v>-115236.29</v>
      </c>
      <c r="C95" s="918"/>
      <c r="D95" s="918"/>
      <c r="E95" s="918"/>
      <c r="F95" s="918"/>
      <c r="G95" s="975"/>
      <c r="H95" s="976"/>
      <c r="I95" s="966">
        <f t="shared" si="1"/>
        <v>-115236.29</v>
      </c>
      <c r="J95" s="967"/>
    </row>
    <row r="96" spans="1:10" x14ac:dyDescent="0.35">
      <c r="A96" s="998" t="s">
        <v>701</v>
      </c>
      <c r="B96" s="963">
        <v>-135954.03</v>
      </c>
      <c r="C96" s="918"/>
      <c r="D96" s="918"/>
      <c r="E96" s="918"/>
      <c r="F96" s="918"/>
      <c r="G96" s="975"/>
      <c r="H96" s="976"/>
      <c r="I96" s="966">
        <f t="shared" si="1"/>
        <v>-135954.03</v>
      </c>
      <c r="J96" s="967"/>
    </row>
    <row r="97" spans="1:10" x14ac:dyDescent="0.35">
      <c r="A97" s="998" t="s">
        <v>702</v>
      </c>
      <c r="B97" s="963">
        <v>-207956.99</v>
      </c>
      <c r="C97" s="918"/>
      <c r="D97" s="918"/>
      <c r="E97" s="918"/>
      <c r="F97" s="918"/>
      <c r="G97" s="975"/>
      <c r="H97" s="976"/>
      <c r="I97" s="966">
        <f t="shared" si="1"/>
        <v>-207956.99</v>
      </c>
      <c r="J97" s="967"/>
    </row>
    <row r="98" spans="1:10" x14ac:dyDescent="0.35">
      <c r="A98" s="999" t="s">
        <v>245</v>
      </c>
      <c r="B98" s="963">
        <v>-221089.2</v>
      </c>
      <c r="C98" s="918"/>
      <c r="D98" s="918"/>
      <c r="E98" s="918"/>
      <c r="F98" s="918"/>
      <c r="G98" s="975"/>
      <c r="H98" s="976"/>
      <c r="I98" s="966">
        <f t="shared" si="1"/>
        <v>-221089.2</v>
      </c>
      <c r="J98" s="967"/>
    </row>
    <row r="99" spans="1:10" x14ac:dyDescent="0.35">
      <c r="A99" s="998" t="s">
        <v>282</v>
      </c>
      <c r="B99" s="963">
        <v>-265954.98</v>
      </c>
      <c r="C99" s="918"/>
      <c r="D99" s="918"/>
      <c r="E99" s="918"/>
      <c r="F99" s="918"/>
      <c r="G99" s="975"/>
      <c r="H99" s="976"/>
      <c r="I99" s="966">
        <f t="shared" si="1"/>
        <v>-265954.98</v>
      </c>
      <c r="J99" s="967"/>
    </row>
    <row r="100" spans="1:10" x14ac:dyDescent="0.35">
      <c r="A100" s="1000" t="s">
        <v>268</v>
      </c>
      <c r="B100" s="1001">
        <v>0</v>
      </c>
      <c r="C100" s="1001"/>
      <c r="D100" s="1001"/>
      <c r="E100" s="1001"/>
      <c r="F100" s="1001"/>
      <c r="G100" s="1002"/>
      <c r="H100" s="1003">
        <v>-912320.87599999702</v>
      </c>
      <c r="I100" s="966">
        <f t="shared" si="1"/>
        <v>-912320.87599999702</v>
      </c>
      <c r="J100" s="967"/>
    </row>
    <row r="101" spans="1:10" ht="15" thickBot="1" x14ac:dyDescent="0.4">
      <c r="A101" s="998" t="s">
        <v>703</v>
      </c>
      <c r="B101" s="1004">
        <v>-1120862.76</v>
      </c>
      <c r="C101" s="1005"/>
      <c r="D101" s="1005"/>
      <c r="E101" s="1005"/>
      <c r="F101" s="1005"/>
      <c r="G101" s="1005"/>
      <c r="H101" s="1006"/>
      <c r="I101" s="966">
        <f t="shared" si="1"/>
        <v>-1120862.76</v>
      </c>
      <c r="J101" s="967"/>
    </row>
    <row r="102" spans="1:10" ht="15" thickBot="1" x14ac:dyDescent="0.4">
      <c r="A102" s="1007" t="s">
        <v>665</v>
      </c>
      <c r="B102" s="1008">
        <f t="shared" ref="B102:H102" si="2">SUM(B5:B101)</f>
        <v>10754846.151900159</v>
      </c>
      <c r="C102" s="1008">
        <f t="shared" si="2"/>
        <v>378846.63999999902</v>
      </c>
      <c r="D102" s="1008">
        <f t="shared" si="2"/>
        <v>684238.8399999995</v>
      </c>
      <c r="E102" s="1008">
        <f t="shared" si="2"/>
        <v>1631875.3740000506</v>
      </c>
      <c r="F102" s="1008">
        <f t="shared" si="2"/>
        <v>4757483.6400000015</v>
      </c>
      <c r="G102" s="1008">
        <f t="shared" si="2"/>
        <v>20900608.959999997</v>
      </c>
      <c r="H102" s="1009">
        <f t="shared" si="2"/>
        <v>60536105.350000054</v>
      </c>
      <c r="I102" s="1010">
        <f>SUM(B102:H102)</f>
        <v>99644004.955900252</v>
      </c>
    </row>
    <row r="103" spans="1:10" x14ac:dyDescent="0.35">
      <c r="I103" s="1011"/>
    </row>
    <row r="104" spans="1:10" x14ac:dyDescent="0.35">
      <c r="H104" s="680"/>
      <c r="I104" s="680"/>
    </row>
    <row r="105" spans="1:10" x14ac:dyDescent="0.35">
      <c r="H105" s="1011"/>
      <c r="I105" s="680"/>
    </row>
    <row r="106" spans="1:10" x14ac:dyDescent="0.35">
      <c r="G106" s="1012"/>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CDB52-0582-4F51-A0B2-7D2FE824D6E2}">
  <dimension ref="A1:D325"/>
  <sheetViews>
    <sheetView topLeftCell="A316" workbookViewId="0">
      <selection activeCell="E333" sqref="E333"/>
    </sheetView>
  </sheetViews>
  <sheetFormatPr defaultRowHeight="14.5" x14ac:dyDescent="0.35"/>
  <cols>
    <col min="1" max="1" width="54.453125" style="894" customWidth="1"/>
    <col min="2" max="2" width="13.453125" style="894" customWidth="1"/>
    <col min="3" max="3" width="8.90625" style="894"/>
    <col min="4" max="4" width="20.90625" style="327" customWidth="1"/>
  </cols>
  <sheetData>
    <row r="1" spans="1:4" x14ac:dyDescent="0.35">
      <c r="A1" s="683" t="s">
        <v>1</v>
      </c>
      <c r="B1" s="683" t="s">
        <v>704</v>
      </c>
      <c r="C1" s="683" t="s">
        <v>705</v>
      </c>
      <c r="D1" s="895" t="s">
        <v>588</v>
      </c>
    </row>
    <row r="2" spans="1:4" x14ac:dyDescent="0.35">
      <c r="A2" s="713" t="s">
        <v>706</v>
      </c>
      <c r="B2" s="714">
        <v>44681</v>
      </c>
      <c r="C2" s="713" t="s">
        <v>707</v>
      </c>
      <c r="D2" s="897">
        <v>8553</v>
      </c>
    </row>
    <row r="3" spans="1:4" x14ac:dyDescent="0.35">
      <c r="A3" s="713" t="s">
        <v>769</v>
      </c>
      <c r="B3" s="714"/>
      <c r="C3" s="713"/>
      <c r="D3" s="897">
        <f>SUM(D2)</f>
        <v>8553</v>
      </c>
    </row>
    <row r="4" spans="1:4" x14ac:dyDescent="0.35">
      <c r="A4" s="713"/>
      <c r="B4" s="714"/>
      <c r="C4" s="713"/>
      <c r="D4" s="897"/>
    </row>
    <row r="5" spans="1:4" x14ac:dyDescent="0.35">
      <c r="A5" s="713" t="s">
        <v>711</v>
      </c>
      <c r="B5" s="714">
        <v>44681</v>
      </c>
      <c r="C5" s="713" t="s">
        <v>712</v>
      </c>
      <c r="D5" s="897">
        <v>4632</v>
      </c>
    </row>
    <row r="6" spans="1:4" x14ac:dyDescent="0.35">
      <c r="A6" s="713" t="s">
        <v>711</v>
      </c>
      <c r="B6" s="714">
        <v>44681</v>
      </c>
      <c r="C6" s="713" t="s">
        <v>709</v>
      </c>
      <c r="D6" s="897">
        <v>45542.13</v>
      </c>
    </row>
    <row r="7" spans="1:4" x14ac:dyDescent="0.35">
      <c r="A7" s="713" t="s">
        <v>711</v>
      </c>
      <c r="B7" s="714">
        <v>44681</v>
      </c>
      <c r="C7" s="713" t="s">
        <v>713</v>
      </c>
      <c r="D7" s="897">
        <v>80485.8</v>
      </c>
    </row>
    <row r="8" spans="1:4" x14ac:dyDescent="0.35">
      <c r="A8" s="713" t="s">
        <v>711</v>
      </c>
      <c r="B8" s="714">
        <v>44681</v>
      </c>
      <c r="C8" s="713" t="s">
        <v>714</v>
      </c>
      <c r="D8" s="897">
        <v>2262710.5</v>
      </c>
    </row>
    <row r="9" spans="1:4" x14ac:dyDescent="0.35">
      <c r="A9" s="713" t="s">
        <v>711</v>
      </c>
      <c r="B9" s="714">
        <v>44681</v>
      </c>
      <c r="C9" s="713" t="s">
        <v>707</v>
      </c>
      <c r="D9" s="897">
        <v>6399904</v>
      </c>
    </row>
    <row r="10" spans="1:4" x14ac:dyDescent="0.35">
      <c r="A10" s="713" t="s">
        <v>769</v>
      </c>
      <c r="B10" s="714"/>
      <c r="C10" s="713"/>
      <c r="D10" s="897">
        <f>SUM(D5:D9)</f>
        <v>8793274.4299999997</v>
      </c>
    </row>
    <row r="11" spans="1:4" x14ac:dyDescent="0.35">
      <c r="A11" s="325"/>
      <c r="B11" s="708"/>
      <c r="C11" s="325"/>
      <c r="D11" s="896"/>
    </row>
    <row r="12" spans="1:4" x14ac:dyDescent="0.35">
      <c r="A12" s="713" t="s">
        <v>715</v>
      </c>
      <c r="B12" s="714">
        <v>44681</v>
      </c>
      <c r="C12" s="713" t="s">
        <v>713</v>
      </c>
      <c r="D12" s="897">
        <v>3024</v>
      </c>
    </row>
    <row r="13" spans="1:4" x14ac:dyDescent="0.35">
      <c r="A13" s="713" t="s">
        <v>715</v>
      </c>
      <c r="B13" s="714">
        <v>44681</v>
      </c>
      <c r="C13" s="713" t="s">
        <v>709</v>
      </c>
      <c r="D13" s="897">
        <v>238752.69</v>
      </c>
    </row>
    <row r="14" spans="1:4" x14ac:dyDescent="0.35">
      <c r="A14" s="713" t="s">
        <v>715</v>
      </c>
      <c r="B14" s="714">
        <v>44681</v>
      </c>
      <c r="C14" s="713" t="s">
        <v>712</v>
      </c>
      <c r="D14" s="897">
        <v>348</v>
      </c>
    </row>
    <row r="15" spans="1:4" x14ac:dyDescent="0.35">
      <c r="A15" s="713" t="s">
        <v>715</v>
      </c>
      <c r="B15" s="714">
        <v>44681</v>
      </c>
      <c r="C15" s="713" t="s">
        <v>707</v>
      </c>
      <c r="D15" s="897">
        <v>556937</v>
      </c>
    </row>
    <row r="16" spans="1:4" x14ac:dyDescent="0.35">
      <c r="A16" s="713" t="s">
        <v>715</v>
      </c>
      <c r="B16" s="714">
        <v>44681</v>
      </c>
      <c r="C16" s="713" t="s">
        <v>714</v>
      </c>
      <c r="D16" s="897">
        <v>150817.70000000001</v>
      </c>
    </row>
    <row r="17" spans="1:4" x14ac:dyDescent="0.35">
      <c r="A17" s="713" t="s">
        <v>769</v>
      </c>
      <c r="B17" s="714"/>
      <c r="C17" s="713"/>
      <c r="D17" s="897">
        <f>SUM(D12:D16)</f>
        <v>949879.3899999999</v>
      </c>
    </row>
    <row r="18" spans="1:4" x14ac:dyDescent="0.35">
      <c r="A18" s="713"/>
      <c r="B18" s="714"/>
      <c r="C18" s="713"/>
      <c r="D18" s="897"/>
    </row>
    <row r="19" spans="1:4" x14ac:dyDescent="0.35">
      <c r="A19" s="713" t="s">
        <v>716</v>
      </c>
      <c r="B19" s="714">
        <v>44681</v>
      </c>
      <c r="C19" s="713" t="s">
        <v>707</v>
      </c>
      <c r="D19" s="897">
        <v>547364</v>
      </c>
    </row>
    <row r="20" spans="1:4" x14ac:dyDescent="0.35">
      <c r="A20" s="713" t="s">
        <v>716</v>
      </c>
      <c r="B20" s="714">
        <v>44681</v>
      </c>
      <c r="C20" s="713" t="s">
        <v>712</v>
      </c>
      <c r="D20" s="897">
        <v>280</v>
      </c>
    </row>
    <row r="21" spans="1:4" x14ac:dyDescent="0.35">
      <c r="A21" s="713" t="s">
        <v>716</v>
      </c>
      <c r="B21" s="714">
        <v>44681</v>
      </c>
      <c r="C21" s="713" t="s">
        <v>713</v>
      </c>
      <c r="D21" s="897">
        <v>3026.5</v>
      </c>
    </row>
    <row r="22" spans="1:4" x14ac:dyDescent="0.35">
      <c r="A22" s="713" t="s">
        <v>716</v>
      </c>
      <c r="B22" s="714">
        <v>44681</v>
      </c>
      <c r="C22" s="713" t="s">
        <v>709</v>
      </c>
      <c r="D22" s="897">
        <v>13612.16</v>
      </c>
    </row>
    <row r="23" spans="1:4" x14ac:dyDescent="0.35">
      <c r="A23" s="713" t="s">
        <v>716</v>
      </c>
      <c r="B23" s="714">
        <v>44681</v>
      </c>
      <c r="C23" s="713" t="s">
        <v>714</v>
      </c>
      <c r="D23" s="897">
        <v>181375.7</v>
      </c>
    </row>
    <row r="24" spans="1:4" x14ac:dyDescent="0.35">
      <c r="A24" s="713" t="s">
        <v>769</v>
      </c>
      <c r="B24" s="714"/>
      <c r="C24" s="713"/>
      <c r="D24" s="897">
        <f>SUM(D19:D23)</f>
        <v>745658.3600000001</v>
      </c>
    </row>
    <row r="25" spans="1:4" x14ac:dyDescent="0.35">
      <c r="A25" s="325"/>
      <c r="B25" s="708"/>
      <c r="C25" s="325"/>
      <c r="D25" s="896"/>
    </row>
    <row r="26" spans="1:4" x14ac:dyDescent="0.35">
      <c r="A26" s="713" t="s">
        <v>717</v>
      </c>
      <c r="B26" s="714">
        <v>44681</v>
      </c>
      <c r="C26" s="713" t="s">
        <v>714</v>
      </c>
      <c r="D26" s="897">
        <v>1077852.6000000001</v>
      </c>
    </row>
    <row r="27" spans="1:4" x14ac:dyDescent="0.35">
      <c r="A27" s="713" t="s">
        <v>717</v>
      </c>
      <c r="B27" s="714">
        <v>44681</v>
      </c>
      <c r="C27" s="713" t="s">
        <v>710</v>
      </c>
      <c r="D27" s="897">
        <v>4893.38</v>
      </c>
    </row>
    <row r="28" spans="1:4" x14ac:dyDescent="0.35">
      <c r="A28" s="713" t="s">
        <v>717</v>
      </c>
      <c r="B28" s="714">
        <v>44681</v>
      </c>
      <c r="C28" s="713" t="s">
        <v>707</v>
      </c>
      <c r="D28" s="897">
        <v>6119300</v>
      </c>
    </row>
    <row r="29" spans="1:4" x14ac:dyDescent="0.35">
      <c r="A29" s="713" t="s">
        <v>717</v>
      </c>
      <c r="B29" s="714">
        <v>44681</v>
      </c>
      <c r="C29" s="713" t="s">
        <v>712</v>
      </c>
      <c r="D29" s="897">
        <v>150569.1</v>
      </c>
    </row>
    <row r="30" spans="1:4" x14ac:dyDescent="0.35">
      <c r="A30" s="713" t="s">
        <v>717</v>
      </c>
      <c r="B30" s="714">
        <v>44681</v>
      </c>
      <c r="C30" s="713" t="s">
        <v>719</v>
      </c>
      <c r="D30" s="897">
        <v>2799.53</v>
      </c>
    </row>
    <row r="31" spans="1:4" x14ac:dyDescent="0.35">
      <c r="A31" s="713" t="s">
        <v>717</v>
      </c>
      <c r="B31" s="714">
        <v>44681</v>
      </c>
      <c r="C31" s="713" t="s">
        <v>709</v>
      </c>
      <c r="D31" s="897">
        <v>354018.03</v>
      </c>
    </row>
    <row r="32" spans="1:4" x14ac:dyDescent="0.35">
      <c r="A32" s="713" t="s">
        <v>717</v>
      </c>
      <c r="B32" s="714">
        <v>44681</v>
      </c>
      <c r="C32" s="713" t="s">
        <v>713</v>
      </c>
      <c r="D32" s="897">
        <v>33303.4</v>
      </c>
    </row>
    <row r="33" spans="1:4" x14ac:dyDescent="0.35">
      <c r="A33" s="713" t="s">
        <v>769</v>
      </c>
      <c r="B33" s="714"/>
      <c r="C33" s="713"/>
      <c r="D33" s="897">
        <f>SUM(D26:D32)</f>
        <v>7742736.040000001</v>
      </c>
    </row>
    <row r="34" spans="1:4" x14ac:dyDescent="0.35">
      <c r="A34" s="325"/>
      <c r="B34" s="708"/>
      <c r="C34" s="325"/>
      <c r="D34" s="896"/>
    </row>
    <row r="35" spans="1:4" x14ac:dyDescent="0.35">
      <c r="A35" s="713" t="s">
        <v>720</v>
      </c>
      <c r="B35" s="714">
        <v>44681</v>
      </c>
      <c r="C35" s="713" t="s">
        <v>707</v>
      </c>
      <c r="D35" s="897">
        <v>169945</v>
      </c>
    </row>
    <row r="36" spans="1:4" x14ac:dyDescent="0.35">
      <c r="A36" s="713" t="s">
        <v>720</v>
      </c>
      <c r="B36" s="714">
        <v>44681</v>
      </c>
      <c r="C36" s="713" t="s">
        <v>718</v>
      </c>
      <c r="D36" s="897">
        <v>-306712</v>
      </c>
    </row>
    <row r="37" spans="1:4" x14ac:dyDescent="0.35">
      <c r="A37" s="713" t="s">
        <v>720</v>
      </c>
      <c r="B37" s="714">
        <v>44681</v>
      </c>
      <c r="C37" s="713" t="s">
        <v>714</v>
      </c>
      <c r="D37" s="897">
        <v>65608.600000000006</v>
      </c>
    </row>
    <row r="38" spans="1:4" x14ac:dyDescent="0.35">
      <c r="A38" s="713" t="s">
        <v>720</v>
      </c>
      <c r="B38" s="714">
        <v>44681</v>
      </c>
      <c r="C38" s="713" t="s">
        <v>709</v>
      </c>
      <c r="D38" s="897">
        <v>264523.93</v>
      </c>
    </row>
    <row r="39" spans="1:4" x14ac:dyDescent="0.35">
      <c r="A39" s="713" t="s">
        <v>720</v>
      </c>
      <c r="B39" s="714">
        <v>44681</v>
      </c>
      <c r="C39" s="713" t="s">
        <v>713</v>
      </c>
      <c r="D39" s="897">
        <v>2751</v>
      </c>
    </row>
    <row r="40" spans="1:4" x14ac:dyDescent="0.35">
      <c r="A40" s="713" t="s">
        <v>769</v>
      </c>
      <c r="B40" s="714"/>
      <c r="C40" s="713"/>
      <c r="D40" s="897">
        <f>SUM(D35:D39)</f>
        <v>196116.53</v>
      </c>
    </row>
    <row r="41" spans="1:4" x14ac:dyDescent="0.35">
      <c r="A41" s="325"/>
      <c r="B41" s="708"/>
      <c r="C41" s="325"/>
      <c r="D41" s="896"/>
    </row>
    <row r="42" spans="1:4" x14ac:dyDescent="0.35">
      <c r="A42" s="325" t="s">
        <v>721</v>
      </c>
      <c r="B42" s="708">
        <v>44681</v>
      </c>
      <c r="C42" s="325" t="s">
        <v>724</v>
      </c>
      <c r="D42" s="896">
        <v>0</v>
      </c>
    </row>
    <row r="43" spans="1:4" x14ac:dyDescent="0.35">
      <c r="A43" s="325" t="s">
        <v>721</v>
      </c>
      <c r="B43" s="708">
        <v>44681</v>
      </c>
      <c r="C43" s="325" t="s">
        <v>714</v>
      </c>
      <c r="D43" s="896">
        <v>295502.40000000002</v>
      </c>
    </row>
    <row r="44" spans="1:4" x14ac:dyDescent="0.35">
      <c r="A44" s="325" t="s">
        <v>721</v>
      </c>
      <c r="B44" s="708">
        <v>44681</v>
      </c>
      <c r="C44" s="325" t="s">
        <v>707</v>
      </c>
      <c r="D44" s="896">
        <v>0</v>
      </c>
    </row>
    <row r="45" spans="1:4" x14ac:dyDescent="0.35">
      <c r="A45" s="325" t="s">
        <v>721</v>
      </c>
      <c r="B45" s="708">
        <v>44681</v>
      </c>
      <c r="C45" s="325" t="s">
        <v>718</v>
      </c>
      <c r="D45" s="896">
        <v>0</v>
      </c>
    </row>
    <row r="46" spans="1:4" x14ac:dyDescent="0.35">
      <c r="A46" s="325" t="s">
        <v>721</v>
      </c>
      <c r="B46" s="708">
        <v>44681</v>
      </c>
      <c r="C46" s="325" t="s">
        <v>709</v>
      </c>
      <c r="D46" s="896">
        <v>0</v>
      </c>
    </row>
    <row r="47" spans="1:4" x14ac:dyDescent="0.35">
      <c r="A47" s="325" t="s">
        <v>721</v>
      </c>
      <c r="B47" s="708">
        <v>44681</v>
      </c>
      <c r="C47" s="325" t="s">
        <v>712</v>
      </c>
      <c r="D47" s="896">
        <v>20137</v>
      </c>
    </row>
    <row r="48" spans="1:4" x14ac:dyDescent="0.35">
      <c r="A48" s="325" t="s">
        <v>721</v>
      </c>
      <c r="B48" s="708">
        <v>44681</v>
      </c>
      <c r="C48" s="325" t="s">
        <v>722</v>
      </c>
      <c r="D48" s="896">
        <v>0</v>
      </c>
    </row>
    <row r="49" spans="1:4" x14ac:dyDescent="0.35">
      <c r="A49" s="325" t="s">
        <v>721</v>
      </c>
      <c r="B49" s="708">
        <v>44681</v>
      </c>
      <c r="C49" s="325" t="s">
        <v>719</v>
      </c>
      <c r="D49" s="896">
        <v>0</v>
      </c>
    </row>
    <row r="50" spans="1:4" x14ac:dyDescent="0.35">
      <c r="A50" s="325" t="s">
        <v>721</v>
      </c>
      <c r="B50" s="708">
        <v>44681</v>
      </c>
      <c r="C50" s="325" t="s">
        <v>713</v>
      </c>
      <c r="D50" s="896">
        <v>12464.7</v>
      </c>
    </row>
    <row r="51" spans="1:4" x14ac:dyDescent="0.35">
      <c r="A51" s="325" t="s">
        <v>769</v>
      </c>
      <c r="B51" s="708"/>
      <c r="C51" s="325"/>
      <c r="D51" s="896">
        <f>SUM(D42:D50)</f>
        <v>328104.10000000003</v>
      </c>
    </row>
    <row r="52" spans="1:4" x14ac:dyDescent="0.35">
      <c r="A52" s="325"/>
      <c r="B52" s="708"/>
      <c r="C52" s="325"/>
      <c r="D52" s="896"/>
    </row>
    <row r="53" spans="1:4" x14ac:dyDescent="0.35">
      <c r="A53" s="713" t="s">
        <v>723</v>
      </c>
      <c r="B53" s="714">
        <v>44681</v>
      </c>
      <c r="C53" s="713" t="s">
        <v>714</v>
      </c>
      <c r="D53" s="897">
        <v>3777900.5</v>
      </c>
    </row>
    <row r="54" spans="1:4" x14ac:dyDescent="0.35">
      <c r="A54" s="713" t="s">
        <v>723</v>
      </c>
      <c r="B54" s="714">
        <v>44681</v>
      </c>
      <c r="C54" s="713" t="s">
        <v>712</v>
      </c>
      <c r="D54" s="897">
        <v>7164.3</v>
      </c>
    </row>
    <row r="55" spans="1:4" x14ac:dyDescent="0.35">
      <c r="A55" s="713" t="s">
        <v>723</v>
      </c>
      <c r="B55" s="714">
        <v>44681</v>
      </c>
      <c r="C55" s="713" t="s">
        <v>724</v>
      </c>
      <c r="D55" s="897">
        <v>43125.919999999998</v>
      </c>
    </row>
    <row r="56" spans="1:4" x14ac:dyDescent="0.35">
      <c r="A56" s="713" t="s">
        <v>723</v>
      </c>
      <c r="B56" s="714">
        <v>44681</v>
      </c>
      <c r="C56" s="713" t="s">
        <v>713</v>
      </c>
      <c r="D56" s="897">
        <v>67377.100000000006</v>
      </c>
    </row>
    <row r="57" spans="1:4" x14ac:dyDescent="0.35">
      <c r="A57" s="713" t="s">
        <v>723</v>
      </c>
      <c r="B57" s="714">
        <v>44681</v>
      </c>
      <c r="C57" s="713" t="s">
        <v>709</v>
      </c>
      <c r="D57" s="897">
        <v>1745319</v>
      </c>
    </row>
    <row r="58" spans="1:4" x14ac:dyDescent="0.35">
      <c r="A58" s="713" t="s">
        <v>723</v>
      </c>
      <c r="B58" s="714">
        <v>44681</v>
      </c>
      <c r="C58" s="713" t="s">
        <v>722</v>
      </c>
      <c r="D58" s="897">
        <v>-31840</v>
      </c>
    </row>
    <row r="59" spans="1:4" x14ac:dyDescent="0.35">
      <c r="A59" s="713" t="s">
        <v>723</v>
      </c>
      <c r="B59" s="714">
        <v>44681</v>
      </c>
      <c r="C59" s="713" t="s">
        <v>719</v>
      </c>
      <c r="D59" s="897">
        <v>6526.45</v>
      </c>
    </row>
    <row r="60" spans="1:4" x14ac:dyDescent="0.35">
      <c r="A60" s="713" t="s">
        <v>723</v>
      </c>
      <c r="B60" s="714">
        <v>44681</v>
      </c>
      <c r="C60" s="713" t="s">
        <v>707</v>
      </c>
      <c r="D60" s="897">
        <v>12949734.92</v>
      </c>
    </row>
    <row r="61" spans="1:4" x14ac:dyDescent="0.35">
      <c r="A61" s="713" t="s">
        <v>769</v>
      </c>
      <c r="B61" s="714"/>
      <c r="C61" s="713"/>
      <c r="D61" s="897">
        <f>SUM(D53:D60)</f>
        <v>18565308.190000001</v>
      </c>
    </row>
    <row r="62" spans="1:4" x14ac:dyDescent="0.35">
      <c r="A62" s="325"/>
      <c r="B62" s="708"/>
      <c r="C62" s="325"/>
      <c r="D62" s="896"/>
    </row>
    <row r="63" spans="1:4" x14ac:dyDescent="0.35">
      <c r="A63" s="713" t="s">
        <v>725</v>
      </c>
      <c r="B63" s="714">
        <v>44681</v>
      </c>
      <c r="C63" s="713" t="s">
        <v>707</v>
      </c>
      <c r="D63" s="897">
        <v>87016</v>
      </c>
    </row>
    <row r="64" spans="1:4" x14ac:dyDescent="0.35">
      <c r="A64" s="713" t="s">
        <v>725</v>
      </c>
      <c r="B64" s="714">
        <v>44681</v>
      </c>
      <c r="C64" s="713" t="s">
        <v>714</v>
      </c>
      <c r="D64" s="897">
        <v>368937.1</v>
      </c>
    </row>
    <row r="65" spans="1:4" x14ac:dyDescent="0.35">
      <c r="A65" s="713" t="s">
        <v>725</v>
      </c>
      <c r="B65" s="714">
        <v>44681</v>
      </c>
      <c r="C65" s="713" t="s">
        <v>713</v>
      </c>
      <c r="D65" s="897">
        <v>7622</v>
      </c>
    </row>
    <row r="66" spans="1:4" x14ac:dyDescent="0.35">
      <c r="A66" s="713" t="s">
        <v>725</v>
      </c>
      <c r="B66" s="714">
        <v>44681</v>
      </c>
      <c r="C66" s="713" t="s">
        <v>709</v>
      </c>
      <c r="D66" s="897">
        <v>1215900.4099999999</v>
      </c>
    </row>
    <row r="67" spans="1:4" x14ac:dyDescent="0.35">
      <c r="A67" s="713" t="s">
        <v>725</v>
      </c>
      <c r="B67" s="714">
        <v>44681</v>
      </c>
      <c r="C67" s="713" t="s">
        <v>712</v>
      </c>
      <c r="D67" s="897">
        <v>594.29999999999995</v>
      </c>
    </row>
    <row r="68" spans="1:4" x14ac:dyDescent="0.35">
      <c r="A68" s="713" t="s">
        <v>769</v>
      </c>
      <c r="B68" s="714"/>
      <c r="C68" s="713"/>
      <c r="D68" s="897">
        <f>SUM(D63:D67)</f>
        <v>1680069.8099999998</v>
      </c>
    </row>
    <row r="69" spans="1:4" x14ac:dyDescent="0.35">
      <c r="A69" s="325"/>
      <c r="B69" s="708"/>
      <c r="C69" s="325"/>
      <c r="D69" s="896"/>
    </row>
    <row r="70" spans="1:4" x14ac:dyDescent="0.35">
      <c r="A70" s="713" t="s">
        <v>726</v>
      </c>
      <c r="B70" s="714">
        <v>44681</v>
      </c>
      <c r="C70" s="713" t="s">
        <v>714</v>
      </c>
      <c r="D70" s="897">
        <v>818678.9</v>
      </c>
    </row>
    <row r="71" spans="1:4" x14ac:dyDescent="0.35">
      <c r="A71" s="713" t="s">
        <v>726</v>
      </c>
      <c r="B71" s="714">
        <v>44681</v>
      </c>
      <c r="C71" s="713" t="s">
        <v>707</v>
      </c>
      <c r="D71" s="897">
        <v>1910375</v>
      </c>
    </row>
    <row r="72" spans="1:4" x14ac:dyDescent="0.35">
      <c r="A72" s="713" t="s">
        <v>726</v>
      </c>
      <c r="B72" s="714">
        <v>44681</v>
      </c>
      <c r="C72" s="713" t="s">
        <v>712</v>
      </c>
      <c r="D72" s="897">
        <v>3338.5</v>
      </c>
    </row>
    <row r="73" spans="1:4" x14ac:dyDescent="0.35">
      <c r="A73" s="713" t="s">
        <v>726</v>
      </c>
      <c r="B73" s="714">
        <v>44681</v>
      </c>
      <c r="C73" s="713" t="s">
        <v>709</v>
      </c>
      <c r="D73" s="897">
        <v>653292.88</v>
      </c>
    </row>
    <row r="74" spans="1:4" x14ac:dyDescent="0.35">
      <c r="A74" s="713" t="s">
        <v>726</v>
      </c>
      <c r="B74" s="714">
        <v>44681</v>
      </c>
      <c r="C74" s="713" t="s">
        <v>713</v>
      </c>
      <c r="D74" s="897">
        <v>15379.8</v>
      </c>
    </row>
    <row r="75" spans="1:4" x14ac:dyDescent="0.35">
      <c r="A75" s="713" t="s">
        <v>726</v>
      </c>
      <c r="B75" s="714">
        <v>44681</v>
      </c>
      <c r="C75" s="713" t="s">
        <v>719</v>
      </c>
      <c r="D75" s="897">
        <v>26915.37</v>
      </c>
    </row>
    <row r="76" spans="1:4" x14ac:dyDescent="0.35">
      <c r="A76" s="713" t="s">
        <v>769</v>
      </c>
      <c r="B76" s="714"/>
      <c r="C76" s="713"/>
      <c r="D76" s="897">
        <f>SUM(D70:D75)</f>
        <v>3427980.4499999997</v>
      </c>
    </row>
    <row r="77" spans="1:4" x14ac:dyDescent="0.35">
      <c r="A77" s="325"/>
      <c r="B77" s="708"/>
      <c r="C77" s="325"/>
      <c r="D77" s="896"/>
    </row>
    <row r="78" spans="1:4" x14ac:dyDescent="0.35">
      <c r="A78" s="713" t="s">
        <v>45</v>
      </c>
      <c r="B78" s="714">
        <v>44681</v>
      </c>
      <c r="C78" s="713" t="s">
        <v>713</v>
      </c>
      <c r="D78" s="897">
        <v>1120</v>
      </c>
    </row>
    <row r="79" spans="1:4" x14ac:dyDescent="0.35">
      <c r="A79" s="713" t="s">
        <v>45</v>
      </c>
      <c r="B79" s="714">
        <v>44681</v>
      </c>
      <c r="C79" s="713" t="s">
        <v>709</v>
      </c>
      <c r="D79" s="897">
        <v>64784.02</v>
      </c>
    </row>
    <row r="80" spans="1:4" x14ac:dyDescent="0.35">
      <c r="A80" s="713" t="s">
        <v>45</v>
      </c>
      <c r="B80" s="714">
        <v>44681</v>
      </c>
      <c r="C80" s="713" t="s">
        <v>714</v>
      </c>
      <c r="D80" s="897">
        <v>25816.9</v>
      </c>
    </row>
    <row r="81" spans="1:4" x14ac:dyDescent="0.35">
      <c r="A81" s="713" t="s">
        <v>769</v>
      </c>
      <c r="B81" s="714"/>
      <c r="C81" s="713"/>
      <c r="D81" s="897">
        <f>SUM(D78:D80)</f>
        <v>91720.919999999984</v>
      </c>
    </row>
    <row r="82" spans="1:4" x14ac:dyDescent="0.35">
      <c r="A82" s="325"/>
      <c r="B82" s="708"/>
      <c r="C82" s="325"/>
      <c r="D82" s="896"/>
    </row>
    <row r="83" spans="1:4" x14ac:dyDescent="0.35">
      <c r="A83" s="713" t="s">
        <v>727</v>
      </c>
      <c r="B83" s="714">
        <v>44681</v>
      </c>
      <c r="C83" s="713" t="s">
        <v>707</v>
      </c>
      <c r="D83" s="897">
        <v>45993</v>
      </c>
    </row>
    <row r="84" spans="1:4" x14ac:dyDescent="0.35">
      <c r="A84" s="713" t="s">
        <v>727</v>
      </c>
      <c r="B84" s="714">
        <v>44681</v>
      </c>
      <c r="C84" s="713" t="s">
        <v>714</v>
      </c>
      <c r="D84" s="897">
        <v>3276.8</v>
      </c>
    </row>
    <row r="85" spans="1:4" x14ac:dyDescent="0.35">
      <c r="A85" s="713" t="s">
        <v>727</v>
      </c>
      <c r="B85" s="714">
        <v>44681</v>
      </c>
      <c r="C85" s="713" t="s">
        <v>712</v>
      </c>
      <c r="D85" s="897">
        <v>104</v>
      </c>
    </row>
    <row r="86" spans="1:4" x14ac:dyDescent="0.35">
      <c r="A86" s="713" t="s">
        <v>769</v>
      </c>
      <c r="B86" s="714"/>
      <c r="C86" s="713"/>
      <c r="D86" s="897">
        <f>SUM(D83:D85)</f>
        <v>49373.8</v>
      </c>
    </row>
    <row r="87" spans="1:4" x14ac:dyDescent="0.35">
      <c r="A87" s="325"/>
      <c r="B87" s="708"/>
      <c r="C87" s="325"/>
      <c r="D87" s="896"/>
    </row>
    <row r="88" spans="1:4" x14ac:dyDescent="0.35">
      <c r="A88" s="713" t="s">
        <v>728</v>
      </c>
      <c r="B88" s="714">
        <v>44681</v>
      </c>
      <c r="C88" s="713" t="s">
        <v>712</v>
      </c>
      <c r="D88" s="897">
        <v>2767.1</v>
      </c>
    </row>
    <row r="89" spans="1:4" x14ac:dyDescent="0.35">
      <c r="A89" s="713" t="s">
        <v>728</v>
      </c>
      <c r="B89" s="714">
        <v>44681</v>
      </c>
      <c r="C89" s="713" t="s">
        <v>714</v>
      </c>
      <c r="D89" s="897">
        <v>284438.8</v>
      </c>
    </row>
    <row r="90" spans="1:4" x14ac:dyDescent="0.35">
      <c r="A90" s="713" t="s">
        <v>728</v>
      </c>
      <c r="B90" s="714">
        <v>44681</v>
      </c>
      <c r="C90" s="713" t="s">
        <v>709</v>
      </c>
      <c r="D90" s="897">
        <v>242180.61</v>
      </c>
    </row>
    <row r="91" spans="1:4" x14ac:dyDescent="0.35">
      <c r="A91" s="713" t="s">
        <v>728</v>
      </c>
      <c r="B91" s="714">
        <v>44681</v>
      </c>
      <c r="C91" s="713" t="s">
        <v>713</v>
      </c>
      <c r="D91" s="897">
        <v>6019</v>
      </c>
    </row>
    <row r="92" spans="1:4" x14ac:dyDescent="0.35">
      <c r="A92" s="713" t="s">
        <v>728</v>
      </c>
      <c r="B92" s="714">
        <v>44681</v>
      </c>
      <c r="C92" s="713" t="s">
        <v>707</v>
      </c>
      <c r="D92" s="897">
        <v>712150</v>
      </c>
    </row>
    <row r="93" spans="1:4" x14ac:dyDescent="0.35">
      <c r="A93" s="713" t="s">
        <v>728</v>
      </c>
      <c r="B93" s="714">
        <v>44681</v>
      </c>
      <c r="C93" s="713" t="s">
        <v>719</v>
      </c>
      <c r="D93" s="897">
        <v>9725.14</v>
      </c>
    </row>
    <row r="94" spans="1:4" x14ac:dyDescent="0.35">
      <c r="A94" s="713" t="s">
        <v>769</v>
      </c>
      <c r="B94" s="714"/>
      <c r="C94" s="713"/>
      <c r="D94" s="897">
        <f>SUM(D88:D93)</f>
        <v>1257280.6499999999</v>
      </c>
    </row>
    <row r="95" spans="1:4" x14ac:dyDescent="0.35">
      <c r="A95" s="713"/>
      <c r="B95" s="714"/>
      <c r="C95" s="713"/>
      <c r="D95" s="897"/>
    </row>
    <row r="96" spans="1:4" x14ac:dyDescent="0.35">
      <c r="A96" s="713" t="s">
        <v>729</v>
      </c>
      <c r="B96" s="714">
        <v>44681</v>
      </c>
      <c r="C96" s="713" t="s">
        <v>713</v>
      </c>
      <c r="D96" s="897">
        <v>1015</v>
      </c>
    </row>
    <row r="97" spans="1:4" x14ac:dyDescent="0.35">
      <c r="A97" s="713" t="s">
        <v>729</v>
      </c>
      <c r="B97" s="714">
        <v>44681</v>
      </c>
      <c r="C97" s="713" t="s">
        <v>707</v>
      </c>
      <c r="D97" s="897">
        <v>208113</v>
      </c>
    </row>
    <row r="98" spans="1:4" x14ac:dyDescent="0.35">
      <c r="A98" s="713" t="s">
        <v>729</v>
      </c>
      <c r="B98" s="714">
        <v>44681</v>
      </c>
      <c r="C98" s="713" t="s">
        <v>712</v>
      </c>
      <c r="D98" s="897">
        <v>220</v>
      </c>
    </row>
    <row r="99" spans="1:4" x14ac:dyDescent="0.35">
      <c r="A99" s="713" t="s">
        <v>729</v>
      </c>
      <c r="B99" s="714">
        <v>44681</v>
      </c>
      <c r="C99" s="713" t="s">
        <v>714</v>
      </c>
      <c r="D99" s="897">
        <v>68875.7</v>
      </c>
    </row>
    <row r="100" spans="1:4" x14ac:dyDescent="0.35">
      <c r="A100" s="713" t="s">
        <v>769</v>
      </c>
      <c r="B100" s="714"/>
      <c r="C100" s="713"/>
      <c r="D100" s="897">
        <f>SUM(D96:D99)</f>
        <v>278223.7</v>
      </c>
    </row>
    <row r="101" spans="1:4" x14ac:dyDescent="0.35">
      <c r="A101" s="325"/>
      <c r="B101" s="708"/>
      <c r="C101" s="325"/>
      <c r="D101" s="896"/>
    </row>
    <row r="102" spans="1:4" x14ac:dyDescent="0.35">
      <c r="A102" s="713" t="s">
        <v>730</v>
      </c>
      <c r="B102" s="714">
        <v>44681</v>
      </c>
      <c r="C102" s="713" t="s">
        <v>707</v>
      </c>
      <c r="D102" s="897">
        <v>945417</v>
      </c>
    </row>
    <row r="103" spans="1:4" x14ac:dyDescent="0.35">
      <c r="A103" s="713" t="s">
        <v>730</v>
      </c>
      <c r="B103" s="714">
        <v>44681</v>
      </c>
      <c r="C103" s="713" t="s">
        <v>719</v>
      </c>
      <c r="D103" s="897">
        <v>1703.74</v>
      </c>
    </row>
    <row r="104" spans="1:4" x14ac:dyDescent="0.35">
      <c r="A104" s="713" t="s">
        <v>730</v>
      </c>
      <c r="B104" s="714">
        <v>44681</v>
      </c>
      <c r="C104" s="713" t="s">
        <v>712</v>
      </c>
      <c r="D104" s="897">
        <v>394.8</v>
      </c>
    </row>
    <row r="105" spans="1:4" x14ac:dyDescent="0.35">
      <c r="A105" s="713" t="s">
        <v>730</v>
      </c>
      <c r="B105" s="714">
        <v>44681</v>
      </c>
      <c r="C105" s="713" t="s">
        <v>709</v>
      </c>
      <c r="D105" s="897">
        <v>353978.44</v>
      </c>
    </row>
    <row r="106" spans="1:4" x14ac:dyDescent="0.35">
      <c r="A106" s="713" t="s">
        <v>730</v>
      </c>
      <c r="B106" s="714">
        <v>44681</v>
      </c>
      <c r="C106" s="713" t="s">
        <v>713</v>
      </c>
      <c r="D106" s="897">
        <v>8880.5</v>
      </c>
    </row>
    <row r="107" spans="1:4" x14ac:dyDescent="0.35">
      <c r="A107" s="713" t="s">
        <v>730</v>
      </c>
      <c r="B107" s="714">
        <v>44681</v>
      </c>
      <c r="C107" s="713" t="s">
        <v>714</v>
      </c>
      <c r="D107" s="897">
        <v>358882.2</v>
      </c>
    </row>
    <row r="108" spans="1:4" x14ac:dyDescent="0.35">
      <c r="A108" s="713" t="s">
        <v>769</v>
      </c>
      <c r="B108" s="714"/>
      <c r="C108" s="713"/>
      <c r="D108" s="897">
        <f>SUM(D102:D107)</f>
        <v>1669256.68</v>
      </c>
    </row>
    <row r="109" spans="1:4" x14ac:dyDescent="0.35">
      <c r="A109" s="325"/>
      <c r="B109" s="708"/>
      <c r="C109" s="325"/>
      <c r="D109" s="896"/>
    </row>
    <row r="110" spans="1:4" x14ac:dyDescent="0.35">
      <c r="A110" s="713" t="s">
        <v>731</v>
      </c>
      <c r="B110" s="714">
        <v>44681</v>
      </c>
      <c r="C110" s="713" t="s">
        <v>714</v>
      </c>
      <c r="D110" s="897">
        <v>1138288.3999999999</v>
      </c>
    </row>
    <row r="111" spans="1:4" x14ac:dyDescent="0.35">
      <c r="A111" s="713" t="s">
        <v>731</v>
      </c>
      <c r="B111" s="714">
        <v>44681</v>
      </c>
      <c r="C111" s="713" t="s">
        <v>710</v>
      </c>
      <c r="D111" s="897">
        <v>6177.32</v>
      </c>
    </row>
    <row r="112" spans="1:4" x14ac:dyDescent="0.35">
      <c r="A112" s="713" t="s">
        <v>731</v>
      </c>
      <c r="B112" s="714">
        <v>44681</v>
      </c>
      <c r="C112" s="713" t="s">
        <v>712</v>
      </c>
      <c r="D112" s="897">
        <v>90015.6</v>
      </c>
    </row>
    <row r="113" spans="1:4" x14ac:dyDescent="0.35">
      <c r="A113" s="713" t="s">
        <v>731</v>
      </c>
      <c r="B113" s="714">
        <v>44681</v>
      </c>
      <c r="C113" s="713" t="s">
        <v>713</v>
      </c>
      <c r="D113" s="897">
        <v>31526</v>
      </c>
    </row>
    <row r="114" spans="1:4" x14ac:dyDescent="0.35">
      <c r="A114" s="713" t="s">
        <v>731</v>
      </c>
      <c r="B114" s="714">
        <v>44681</v>
      </c>
      <c r="C114" s="713" t="s">
        <v>709</v>
      </c>
      <c r="D114" s="897">
        <v>16659.16</v>
      </c>
    </row>
    <row r="115" spans="1:4" x14ac:dyDescent="0.35">
      <c r="A115" s="713" t="s">
        <v>731</v>
      </c>
      <c r="B115" s="714">
        <v>44681</v>
      </c>
      <c r="C115" s="713" t="s">
        <v>719</v>
      </c>
      <c r="D115" s="897">
        <v>1228.6099999999999</v>
      </c>
    </row>
    <row r="116" spans="1:4" x14ac:dyDescent="0.35">
      <c r="A116" s="713" t="s">
        <v>731</v>
      </c>
      <c r="B116" s="714">
        <v>44681</v>
      </c>
      <c r="C116" s="713" t="s">
        <v>707</v>
      </c>
      <c r="D116" s="897">
        <v>6612338.1600000001</v>
      </c>
    </row>
    <row r="117" spans="1:4" x14ac:dyDescent="0.35">
      <c r="A117" s="713" t="s">
        <v>769</v>
      </c>
      <c r="B117" s="714"/>
      <c r="C117" s="713"/>
      <c r="D117" s="897">
        <f>SUM(D110:D116)</f>
        <v>7896233.25</v>
      </c>
    </row>
    <row r="118" spans="1:4" x14ac:dyDescent="0.35">
      <c r="A118" s="325"/>
      <c r="B118" s="708"/>
      <c r="C118" s="325"/>
      <c r="D118" s="896"/>
    </row>
    <row r="119" spans="1:4" x14ac:dyDescent="0.35">
      <c r="A119" s="713" t="s">
        <v>732</v>
      </c>
      <c r="B119" s="714">
        <v>44681</v>
      </c>
      <c r="C119" s="713" t="s">
        <v>714</v>
      </c>
      <c r="D119" s="897">
        <v>118398.8</v>
      </c>
    </row>
    <row r="120" spans="1:4" x14ac:dyDescent="0.35">
      <c r="A120" s="713" t="s">
        <v>732</v>
      </c>
      <c r="B120" s="714">
        <v>44681</v>
      </c>
      <c r="C120" s="713" t="s">
        <v>707</v>
      </c>
      <c r="D120" s="897">
        <v>489977</v>
      </c>
    </row>
    <row r="121" spans="1:4" x14ac:dyDescent="0.35">
      <c r="A121" s="713" t="s">
        <v>732</v>
      </c>
      <c r="B121" s="714">
        <v>44681</v>
      </c>
      <c r="C121" s="713" t="s">
        <v>712</v>
      </c>
      <c r="D121" s="897">
        <v>265</v>
      </c>
    </row>
    <row r="122" spans="1:4" x14ac:dyDescent="0.35">
      <c r="A122" s="713" t="s">
        <v>732</v>
      </c>
      <c r="B122" s="714">
        <v>44681</v>
      </c>
      <c r="C122" s="713" t="s">
        <v>713</v>
      </c>
      <c r="D122" s="897">
        <v>1986</v>
      </c>
    </row>
    <row r="123" spans="1:4" x14ac:dyDescent="0.35">
      <c r="A123" s="713" t="s">
        <v>732</v>
      </c>
      <c r="B123" s="714">
        <v>44681</v>
      </c>
      <c r="C123" s="713" t="s">
        <v>709</v>
      </c>
      <c r="D123" s="897">
        <v>11574.92</v>
      </c>
    </row>
    <row r="124" spans="1:4" x14ac:dyDescent="0.35">
      <c r="A124" s="713" t="s">
        <v>769</v>
      </c>
      <c r="B124" s="714"/>
      <c r="C124" s="713"/>
      <c r="D124" s="897">
        <f>SUM(D119:D123)</f>
        <v>622201.72000000009</v>
      </c>
    </row>
    <row r="125" spans="1:4" x14ac:dyDescent="0.35">
      <c r="A125" s="325"/>
      <c r="B125" s="708"/>
      <c r="C125" s="325"/>
      <c r="D125" s="896"/>
    </row>
    <row r="126" spans="1:4" x14ac:dyDescent="0.35">
      <c r="A126" s="713" t="s">
        <v>777</v>
      </c>
      <c r="B126" s="714">
        <v>44681</v>
      </c>
      <c r="C126" s="713" t="s">
        <v>712</v>
      </c>
      <c r="D126" s="897">
        <v>200</v>
      </c>
    </row>
    <row r="127" spans="1:4" x14ac:dyDescent="0.35">
      <c r="A127" s="713" t="s">
        <v>777</v>
      </c>
      <c r="B127" s="714">
        <v>44681</v>
      </c>
      <c r="C127" s="713" t="s">
        <v>714</v>
      </c>
      <c r="D127" s="897">
        <v>14283</v>
      </c>
    </row>
    <row r="128" spans="1:4" x14ac:dyDescent="0.35">
      <c r="A128" s="713" t="s">
        <v>777</v>
      </c>
      <c r="B128" s="714">
        <v>44681</v>
      </c>
      <c r="C128" s="713" t="s">
        <v>713</v>
      </c>
      <c r="D128" s="897">
        <v>65</v>
      </c>
    </row>
    <row r="129" spans="1:4" x14ac:dyDescent="0.35">
      <c r="A129" s="713" t="s">
        <v>777</v>
      </c>
      <c r="B129" s="714">
        <v>44681</v>
      </c>
      <c r="C129" s="713" t="s">
        <v>709</v>
      </c>
      <c r="D129" s="897">
        <v>33615.22</v>
      </c>
    </row>
    <row r="130" spans="1:4" x14ac:dyDescent="0.35">
      <c r="A130" s="713" t="s">
        <v>769</v>
      </c>
      <c r="B130" s="714"/>
      <c r="C130" s="713"/>
      <c r="D130" s="897">
        <f>SUM(D126:D129)</f>
        <v>48163.22</v>
      </c>
    </row>
    <row r="131" spans="1:4" x14ac:dyDescent="0.35">
      <c r="A131" s="325"/>
      <c r="B131" s="708"/>
      <c r="C131" s="325"/>
      <c r="D131" s="896"/>
    </row>
    <row r="132" spans="1:4" x14ac:dyDescent="0.35">
      <c r="A132" s="713" t="s">
        <v>466</v>
      </c>
      <c r="B132" s="714">
        <v>44681</v>
      </c>
      <c r="C132" s="713" t="s">
        <v>714</v>
      </c>
      <c r="D132" s="897">
        <v>10137.700000000001</v>
      </c>
    </row>
    <row r="133" spans="1:4" x14ac:dyDescent="0.35">
      <c r="A133" s="713" t="s">
        <v>466</v>
      </c>
      <c r="B133" s="714">
        <v>44681</v>
      </c>
      <c r="C133" s="713" t="s">
        <v>709</v>
      </c>
      <c r="D133" s="897">
        <v>43319.53</v>
      </c>
    </row>
    <row r="134" spans="1:4" x14ac:dyDescent="0.35">
      <c r="A134" s="713" t="s">
        <v>769</v>
      </c>
      <c r="B134" s="714"/>
      <c r="C134" s="713"/>
      <c r="D134" s="897">
        <f>SUM(D132:D133)</f>
        <v>53457.229999999996</v>
      </c>
    </row>
    <row r="135" spans="1:4" x14ac:dyDescent="0.35">
      <c r="A135" s="325"/>
      <c r="B135" s="708"/>
      <c r="C135" s="325"/>
      <c r="D135" s="896"/>
    </row>
    <row r="136" spans="1:4" x14ac:dyDescent="0.35">
      <c r="A136" s="713" t="s">
        <v>734</v>
      </c>
      <c r="B136" s="714">
        <v>44681</v>
      </c>
      <c r="C136" s="713" t="s">
        <v>709</v>
      </c>
      <c r="D136" s="897">
        <v>65489.21</v>
      </c>
    </row>
    <row r="137" spans="1:4" x14ac:dyDescent="0.35">
      <c r="A137" s="713" t="s">
        <v>734</v>
      </c>
      <c r="B137" s="714">
        <v>44681</v>
      </c>
      <c r="C137" s="713" t="s">
        <v>714</v>
      </c>
      <c r="D137" s="897">
        <v>18606.8</v>
      </c>
    </row>
    <row r="138" spans="1:4" x14ac:dyDescent="0.35">
      <c r="A138" s="713" t="s">
        <v>769</v>
      </c>
      <c r="B138" s="714"/>
      <c r="C138" s="713"/>
      <c r="D138" s="897">
        <f>SUM(D136:D137)</f>
        <v>84096.01</v>
      </c>
    </row>
    <row r="139" spans="1:4" x14ac:dyDescent="0.35">
      <c r="A139" s="325"/>
      <c r="B139" s="708"/>
      <c r="C139" s="325"/>
      <c r="D139" s="896"/>
    </row>
    <row r="140" spans="1:4" x14ac:dyDescent="0.35">
      <c r="A140" s="713" t="s">
        <v>736</v>
      </c>
      <c r="B140" s="714">
        <v>44681</v>
      </c>
      <c r="C140" s="713" t="s">
        <v>712</v>
      </c>
      <c r="D140" s="897">
        <v>2543</v>
      </c>
    </row>
    <row r="141" spans="1:4" x14ac:dyDescent="0.35">
      <c r="A141" s="713" t="s">
        <v>736</v>
      </c>
      <c r="B141" s="714">
        <v>44681</v>
      </c>
      <c r="C141" s="713" t="s">
        <v>713</v>
      </c>
      <c r="D141" s="897">
        <v>4318.5</v>
      </c>
    </row>
    <row r="142" spans="1:4" x14ac:dyDescent="0.35">
      <c r="A142" s="713" t="s">
        <v>736</v>
      </c>
      <c r="B142" s="714">
        <v>44681</v>
      </c>
      <c r="C142" s="713" t="s">
        <v>707</v>
      </c>
      <c r="D142" s="897">
        <v>793184</v>
      </c>
    </row>
    <row r="143" spans="1:4" x14ac:dyDescent="0.35">
      <c r="A143" s="713" t="s">
        <v>736</v>
      </c>
      <c r="B143" s="714">
        <v>44681</v>
      </c>
      <c r="C143" s="713" t="s">
        <v>709</v>
      </c>
      <c r="D143" s="897">
        <v>135516.66</v>
      </c>
    </row>
    <row r="144" spans="1:4" x14ac:dyDescent="0.35">
      <c r="A144" s="713" t="s">
        <v>736</v>
      </c>
      <c r="B144" s="714">
        <v>44681</v>
      </c>
      <c r="C144" s="713" t="s">
        <v>714</v>
      </c>
      <c r="D144" s="897">
        <v>356111.9</v>
      </c>
    </row>
    <row r="145" spans="1:4" x14ac:dyDescent="0.35">
      <c r="A145" s="713" t="s">
        <v>769</v>
      </c>
      <c r="B145" s="714"/>
      <c r="C145" s="713"/>
      <c r="D145" s="897">
        <f>SUM(D140:D144)</f>
        <v>1291674.06</v>
      </c>
    </row>
    <row r="146" spans="1:4" x14ac:dyDescent="0.35">
      <c r="A146" s="325"/>
      <c r="B146" s="708"/>
      <c r="C146" s="325"/>
      <c r="D146" s="896"/>
    </row>
    <row r="147" spans="1:4" x14ac:dyDescent="0.35">
      <c r="A147" s="713" t="s">
        <v>511</v>
      </c>
      <c r="B147" s="714">
        <v>44681</v>
      </c>
      <c r="C147" s="713" t="s">
        <v>714</v>
      </c>
      <c r="D147" s="897">
        <v>1052.0999999999999</v>
      </c>
    </row>
    <row r="148" spans="1:4" x14ac:dyDescent="0.35">
      <c r="A148" s="713" t="s">
        <v>511</v>
      </c>
      <c r="B148" s="714">
        <v>44681</v>
      </c>
      <c r="C148" s="713" t="s">
        <v>709</v>
      </c>
      <c r="D148" s="897">
        <v>33615.22</v>
      </c>
    </row>
    <row r="149" spans="1:4" x14ac:dyDescent="0.35">
      <c r="A149" s="713" t="s">
        <v>769</v>
      </c>
      <c r="B149" s="714"/>
      <c r="C149" s="713"/>
      <c r="D149" s="897">
        <f>SUM(D147:D148)</f>
        <v>34667.32</v>
      </c>
    </row>
    <row r="150" spans="1:4" x14ac:dyDescent="0.35">
      <c r="A150" s="325"/>
      <c r="B150" s="708"/>
      <c r="C150" s="325"/>
      <c r="D150" s="896"/>
    </row>
    <row r="151" spans="1:4" x14ac:dyDescent="0.35">
      <c r="A151" s="713" t="s">
        <v>737</v>
      </c>
      <c r="B151" s="714">
        <v>44681</v>
      </c>
      <c r="C151" s="713" t="s">
        <v>713</v>
      </c>
      <c r="D151" s="897">
        <v>10.5</v>
      </c>
    </row>
    <row r="152" spans="1:4" x14ac:dyDescent="0.35">
      <c r="A152" s="713" t="s">
        <v>737</v>
      </c>
      <c r="B152" s="714">
        <v>44681</v>
      </c>
      <c r="C152" s="713" t="s">
        <v>707</v>
      </c>
      <c r="D152" s="897">
        <v>29244</v>
      </c>
    </row>
    <row r="153" spans="1:4" x14ac:dyDescent="0.35">
      <c r="A153" s="713" t="s">
        <v>737</v>
      </c>
      <c r="B153" s="714">
        <v>44681</v>
      </c>
      <c r="C153" s="713" t="s">
        <v>712</v>
      </c>
      <c r="D153" s="897">
        <v>162.5</v>
      </c>
    </row>
    <row r="154" spans="1:4" x14ac:dyDescent="0.35">
      <c r="A154" s="713" t="s">
        <v>737</v>
      </c>
      <c r="B154" s="714">
        <v>44681</v>
      </c>
      <c r="C154" s="713" t="s">
        <v>714</v>
      </c>
      <c r="D154" s="897">
        <v>11518.3</v>
      </c>
    </row>
    <row r="155" spans="1:4" x14ac:dyDescent="0.35">
      <c r="A155" s="713" t="s">
        <v>769</v>
      </c>
      <c r="B155" s="714"/>
      <c r="C155" s="713"/>
      <c r="D155" s="897">
        <f>SUM(D151:D154)</f>
        <v>40935.300000000003</v>
      </c>
    </row>
    <row r="156" spans="1:4" x14ac:dyDescent="0.35">
      <c r="A156" s="325"/>
      <c r="B156" s="708"/>
      <c r="C156" s="325"/>
      <c r="D156" s="896"/>
    </row>
    <row r="157" spans="1:4" x14ac:dyDescent="0.35">
      <c r="A157" s="713" t="s">
        <v>738</v>
      </c>
      <c r="B157" s="714">
        <v>44681</v>
      </c>
      <c r="C157" s="713" t="s">
        <v>714</v>
      </c>
      <c r="D157" s="897">
        <v>2718.1</v>
      </c>
    </row>
    <row r="158" spans="1:4" x14ac:dyDescent="0.35">
      <c r="A158" s="713" t="s">
        <v>738</v>
      </c>
      <c r="B158" s="714">
        <v>44681</v>
      </c>
      <c r="C158" s="713" t="s">
        <v>707</v>
      </c>
      <c r="D158" s="897">
        <v>8976</v>
      </c>
    </row>
    <row r="159" spans="1:4" x14ac:dyDescent="0.35">
      <c r="A159" s="713" t="s">
        <v>769</v>
      </c>
      <c r="B159" s="714"/>
      <c r="C159" s="713"/>
      <c r="D159" s="897">
        <f>SUM(D157:D158)</f>
        <v>11694.1</v>
      </c>
    </row>
    <row r="160" spans="1:4" x14ac:dyDescent="0.35">
      <c r="A160" s="325"/>
      <c r="B160" s="708"/>
      <c r="C160" s="325"/>
      <c r="D160" s="896"/>
    </row>
    <row r="161" spans="1:4" x14ac:dyDescent="0.35">
      <c r="A161" s="713" t="s">
        <v>739</v>
      </c>
      <c r="B161" s="714">
        <v>44681</v>
      </c>
      <c r="C161" s="713" t="s">
        <v>714</v>
      </c>
      <c r="D161" s="897">
        <v>49128.1</v>
      </c>
    </row>
    <row r="162" spans="1:4" x14ac:dyDescent="0.35">
      <c r="A162" s="713" t="s">
        <v>739</v>
      </c>
      <c r="B162" s="714">
        <v>44681</v>
      </c>
      <c r="C162" s="713" t="s">
        <v>709</v>
      </c>
      <c r="D162" s="897">
        <v>25966.07</v>
      </c>
    </row>
    <row r="163" spans="1:4" x14ac:dyDescent="0.35">
      <c r="A163" s="713" t="s">
        <v>739</v>
      </c>
      <c r="B163" s="714">
        <v>44681</v>
      </c>
      <c r="C163" s="713" t="s">
        <v>713</v>
      </c>
      <c r="D163" s="897">
        <v>1206.5</v>
      </c>
    </row>
    <row r="164" spans="1:4" x14ac:dyDescent="0.35">
      <c r="A164" s="713" t="s">
        <v>739</v>
      </c>
      <c r="B164" s="714">
        <v>44681</v>
      </c>
      <c r="C164" s="713" t="s">
        <v>712</v>
      </c>
      <c r="D164" s="897">
        <v>557.5</v>
      </c>
    </row>
    <row r="165" spans="1:4" x14ac:dyDescent="0.35">
      <c r="A165" s="713" t="s">
        <v>739</v>
      </c>
      <c r="B165" s="714">
        <v>44681</v>
      </c>
      <c r="C165" s="713" t="s">
        <v>707</v>
      </c>
      <c r="D165" s="897">
        <v>142044</v>
      </c>
    </row>
    <row r="166" spans="1:4" x14ac:dyDescent="0.35">
      <c r="A166" s="713" t="s">
        <v>769</v>
      </c>
      <c r="B166" s="714"/>
      <c r="C166" s="713"/>
      <c r="D166" s="897">
        <f>SUM(D161:D165)</f>
        <v>218902.16999999998</v>
      </c>
    </row>
    <row r="167" spans="1:4" x14ac:dyDescent="0.35">
      <c r="A167" s="325"/>
      <c r="B167" s="708"/>
      <c r="C167" s="325"/>
      <c r="D167" s="896"/>
    </row>
    <row r="168" spans="1:4" x14ac:dyDescent="0.35">
      <c r="A168" s="713" t="s">
        <v>740</v>
      </c>
      <c r="B168" s="714">
        <v>44681</v>
      </c>
      <c r="C168" s="713" t="s">
        <v>714</v>
      </c>
      <c r="D168" s="897">
        <v>21347.8</v>
      </c>
    </row>
    <row r="169" spans="1:4" x14ac:dyDescent="0.35">
      <c r="A169" s="713" t="s">
        <v>740</v>
      </c>
      <c r="B169" s="714">
        <v>44681</v>
      </c>
      <c r="C169" s="713" t="s">
        <v>713</v>
      </c>
      <c r="D169" s="897">
        <v>1306</v>
      </c>
    </row>
    <row r="170" spans="1:4" x14ac:dyDescent="0.35">
      <c r="A170" s="713" t="s">
        <v>740</v>
      </c>
      <c r="B170" s="714">
        <v>44681</v>
      </c>
      <c r="C170" s="713" t="s">
        <v>707</v>
      </c>
      <c r="D170" s="897">
        <v>74060</v>
      </c>
    </row>
    <row r="171" spans="1:4" x14ac:dyDescent="0.35">
      <c r="A171" s="713" t="s">
        <v>769</v>
      </c>
      <c r="B171" s="714"/>
      <c r="C171" s="713"/>
      <c r="D171" s="897">
        <f>SUM(D167:D170)</f>
        <v>96713.8</v>
      </c>
    </row>
    <row r="172" spans="1:4" x14ac:dyDescent="0.35">
      <c r="A172" s="325"/>
      <c r="B172" s="708"/>
      <c r="C172" s="325"/>
      <c r="D172" s="896"/>
    </row>
    <row r="173" spans="1:4" x14ac:dyDescent="0.35">
      <c r="A173" s="713" t="s">
        <v>741</v>
      </c>
      <c r="B173" s="714">
        <v>44681</v>
      </c>
      <c r="C173" s="713" t="s">
        <v>713</v>
      </c>
      <c r="D173" s="897">
        <v>51</v>
      </c>
    </row>
    <row r="174" spans="1:4" x14ac:dyDescent="0.35">
      <c r="A174" s="713" t="s">
        <v>741</v>
      </c>
      <c r="B174" s="714">
        <v>44681</v>
      </c>
      <c r="C174" s="713" t="s">
        <v>709</v>
      </c>
      <c r="D174" s="897">
        <v>144946.26999999999</v>
      </c>
    </row>
    <row r="175" spans="1:4" x14ac:dyDescent="0.35">
      <c r="A175" s="713" t="s">
        <v>741</v>
      </c>
      <c r="B175" s="714">
        <v>44681</v>
      </c>
      <c r="C175" s="713" t="s">
        <v>714</v>
      </c>
      <c r="D175" s="897">
        <v>20228.3</v>
      </c>
    </row>
    <row r="176" spans="1:4" x14ac:dyDescent="0.35">
      <c r="A176" s="713" t="s">
        <v>769</v>
      </c>
      <c r="B176" s="714"/>
      <c r="C176" s="713"/>
      <c r="D176" s="897">
        <f>SUM(D173:D175)</f>
        <v>165225.56999999998</v>
      </c>
    </row>
    <row r="177" spans="1:4" x14ac:dyDescent="0.35">
      <c r="A177" s="325"/>
      <c r="B177" s="708"/>
      <c r="C177" s="325"/>
      <c r="D177" s="896"/>
    </row>
    <row r="178" spans="1:4" x14ac:dyDescent="0.35">
      <c r="A178" s="713" t="s">
        <v>742</v>
      </c>
      <c r="B178" s="714">
        <v>44681</v>
      </c>
      <c r="C178" s="713" t="s">
        <v>712</v>
      </c>
      <c r="D178" s="897">
        <v>470</v>
      </c>
    </row>
    <row r="179" spans="1:4" x14ac:dyDescent="0.35">
      <c r="A179" s="713" t="s">
        <v>742</v>
      </c>
      <c r="B179" s="714">
        <v>44681</v>
      </c>
      <c r="C179" s="713" t="s">
        <v>713</v>
      </c>
      <c r="D179" s="897">
        <v>5867.5</v>
      </c>
    </row>
    <row r="180" spans="1:4" x14ac:dyDescent="0.35">
      <c r="A180" s="713" t="s">
        <v>742</v>
      </c>
      <c r="B180" s="714">
        <v>44681</v>
      </c>
      <c r="C180" s="713" t="s">
        <v>714</v>
      </c>
      <c r="D180" s="897">
        <v>181007.1</v>
      </c>
    </row>
    <row r="181" spans="1:4" x14ac:dyDescent="0.35">
      <c r="A181" s="713" t="s">
        <v>742</v>
      </c>
      <c r="B181" s="714">
        <v>44681</v>
      </c>
      <c r="C181" s="713" t="s">
        <v>707</v>
      </c>
      <c r="D181" s="897">
        <v>856176</v>
      </c>
    </row>
    <row r="182" spans="1:4" x14ac:dyDescent="0.35">
      <c r="A182" s="713" t="s">
        <v>769</v>
      </c>
      <c r="B182" s="714"/>
      <c r="C182" s="713"/>
      <c r="D182" s="897">
        <f>SUM(D178:D181)</f>
        <v>1043520.6</v>
      </c>
    </row>
    <row r="183" spans="1:4" x14ac:dyDescent="0.35">
      <c r="A183" s="325"/>
      <c r="B183" s="708"/>
      <c r="C183" s="325"/>
      <c r="D183" s="896"/>
    </row>
    <row r="184" spans="1:4" x14ac:dyDescent="0.35">
      <c r="A184" s="713" t="s">
        <v>743</v>
      </c>
      <c r="B184" s="714">
        <v>44681</v>
      </c>
      <c r="C184" s="713" t="s">
        <v>713</v>
      </c>
      <c r="D184" s="897">
        <v>866</v>
      </c>
    </row>
    <row r="185" spans="1:4" x14ac:dyDescent="0.35">
      <c r="A185" s="713" t="s">
        <v>743</v>
      </c>
      <c r="B185" s="714">
        <v>44681</v>
      </c>
      <c r="C185" s="713" t="s">
        <v>709</v>
      </c>
      <c r="D185" s="897">
        <v>19528.02</v>
      </c>
    </row>
    <row r="186" spans="1:4" x14ac:dyDescent="0.35">
      <c r="A186" s="713" t="s">
        <v>743</v>
      </c>
      <c r="B186" s="714">
        <v>44681</v>
      </c>
      <c r="C186" s="713" t="s">
        <v>714</v>
      </c>
      <c r="D186" s="897">
        <v>31633</v>
      </c>
    </row>
    <row r="187" spans="1:4" x14ac:dyDescent="0.35">
      <c r="A187" s="713" t="s">
        <v>743</v>
      </c>
      <c r="B187" s="714">
        <v>44681</v>
      </c>
      <c r="C187" s="713" t="s">
        <v>707</v>
      </c>
      <c r="D187" s="897">
        <v>385077</v>
      </c>
    </row>
    <row r="188" spans="1:4" x14ac:dyDescent="0.35">
      <c r="A188" s="713" t="s">
        <v>769</v>
      </c>
      <c r="B188" s="714"/>
      <c r="C188" s="713"/>
      <c r="D188" s="897">
        <f>SUM(D184:D187)</f>
        <v>437104.02</v>
      </c>
    </row>
    <row r="189" spans="1:4" x14ac:dyDescent="0.35">
      <c r="A189" s="325"/>
      <c r="B189" s="708"/>
      <c r="C189" s="325"/>
      <c r="D189" s="896"/>
    </row>
    <row r="190" spans="1:4" x14ac:dyDescent="0.35">
      <c r="A190" s="713" t="s">
        <v>526</v>
      </c>
      <c r="B190" s="714">
        <v>44681</v>
      </c>
      <c r="C190" s="713" t="s">
        <v>712</v>
      </c>
      <c r="D190" s="897">
        <v>1532.9</v>
      </c>
    </row>
    <row r="191" spans="1:4" x14ac:dyDescent="0.35">
      <c r="A191" s="713" t="s">
        <v>526</v>
      </c>
      <c r="B191" s="714">
        <v>44681</v>
      </c>
      <c r="C191" s="713" t="s">
        <v>713</v>
      </c>
      <c r="D191" s="897">
        <v>3557</v>
      </c>
    </row>
    <row r="192" spans="1:4" x14ac:dyDescent="0.35">
      <c r="A192" s="713" t="s">
        <v>526</v>
      </c>
      <c r="B192" s="714">
        <v>44681</v>
      </c>
      <c r="C192" s="713" t="s">
        <v>707</v>
      </c>
      <c r="D192" s="897">
        <v>1448906</v>
      </c>
    </row>
    <row r="193" spans="1:4" x14ac:dyDescent="0.35">
      <c r="A193" s="713" t="s">
        <v>526</v>
      </c>
      <c r="B193" s="714">
        <v>44681</v>
      </c>
      <c r="C193" s="713" t="s">
        <v>714</v>
      </c>
      <c r="D193" s="897">
        <v>295321.09999999998</v>
      </c>
    </row>
    <row r="194" spans="1:4" x14ac:dyDescent="0.35">
      <c r="A194" s="713" t="s">
        <v>769</v>
      </c>
      <c r="B194" s="714"/>
      <c r="C194" s="713"/>
      <c r="D194" s="897">
        <f>SUM(D190:D193)</f>
        <v>1749317</v>
      </c>
    </row>
    <row r="195" spans="1:4" x14ac:dyDescent="0.35">
      <c r="A195" s="325"/>
      <c r="B195" s="708"/>
      <c r="C195" s="325"/>
      <c r="D195" s="896"/>
    </row>
    <row r="196" spans="1:4" x14ac:dyDescent="0.35">
      <c r="A196" s="713" t="s">
        <v>744</v>
      </c>
      <c r="B196" s="714">
        <v>44681</v>
      </c>
      <c r="C196" s="713" t="s">
        <v>714</v>
      </c>
      <c r="D196" s="897">
        <v>33704.400000000001</v>
      </c>
    </row>
    <row r="197" spans="1:4" x14ac:dyDescent="0.35">
      <c r="A197" s="713" t="s">
        <v>744</v>
      </c>
      <c r="B197" s="714">
        <v>44681</v>
      </c>
      <c r="C197" s="713" t="s">
        <v>712</v>
      </c>
      <c r="D197" s="897">
        <v>255</v>
      </c>
    </row>
    <row r="198" spans="1:4" x14ac:dyDescent="0.35">
      <c r="A198" s="713" t="s">
        <v>744</v>
      </c>
      <c r="B198" s="714">
        <v>44681</v>
      </c>
      <c r="C198" s="713" t="s">
        <v>707</v>
      </c>
      <c r="D198" s="897">
        <v>29799</v>
      </c>
    </row>
    <row r="199" spans="1:4" x14ac:dyDescent="0.35">
      <c r="A199" s="713" t="s">
        <v>744</v>
      </c>
      <c r="B199" s="714">
        <v>44681</v>
      </c>
      <c r="C199" s="713" t="s">
        <v>713</v>
      </c>
      <c r="D199" s="897">
        <v>2654.5</v>
      </c>
    </row>
    <row r="200" spans="1:4" x14ac:dyDescent="0.35">
      <c r="A200" s="713" t="s">
        <v>744</v>
      </c>
      <c r="B200" s="714">
        <v>44681</v>
      </c>
      <c r="C200" s="713" t="s">
        <v>709</v>
      </c>
      <c r="D200" s="897">
        <v>143800.9</v>
      </c>
    </row>
    <row r="201" spans="1:4" x14ac:dyDescent="0.35">
      <c r="A201" s="713" t="s">
        <v>769</v>
      </c>
      <c r="B201" s="714"/>
      <c r="C201" s="713"/>
      <c r="D201" s="897">
        <f>SUM(D196:D200)</f>
        <v>210213.8</v>
      </c>
    </row>
    <row r="202" spans="1:4" x14ac:dyDescent="0.35">
      <c r="A202" s="325"/>
      <c r="B202" s="708"/>
      <c r="C202" s="325"/>
      <c r="D202" s="896"/>
    </row>
    <row r="203" spans="1:4" x14ac:dyDescent="0.35">
      <c r="A203" s="713" t="s">
        <v>745</v>
      </c>
      <c r="B203" s="714">
        <v>44681</v>
      </c>
      <c r="C203" s="713" t="s">
        <v>713</v>
      </c>
      <c r="D203" s="897">
        <v>8805</v>
      </c>
    </row>
    <row r="204" spans="1:4" x14ac:dyDescent="0.35">
      <c r="A204" s="713" t="s">
        <v>745</v>
      </c>
      <c r="B204" s="714">
        <v>44681</v>
      </c>
      <c r="C204" s="713" t="s">
        <v>712</v>
      </c>
      <c r="D204" s="897">
        <v>227.5</v>
      </c>
    </row>
    <row r="205" spans="1:4" x14ac:dyDescent="0.35">
      <c r="A205" s="713" t="s">
        <v>745</v>
      </c>
      <c r="B205" s="714">
        <v>44681</v>
      </c>
      <c r="C205" s="713" t="s">
        <v>709</v>
      </c>
      <c r="D205" s="897">
        <v>45555.85</v>
      </c>
    </row>
    <row r="206" spans="1:4" x14ac:dyDescent="0.35">
      <c r="A206" s="713" t="s">
        <v>745</v>
      </c>
      <c r="B206" s="714">
        <v>44681</v>
      </c>
      <c r="C206" s="713" t="s">
        <v>707</v>
      </c>
      <c r="D206" s="897">
        <v>315843</v>
      </c>
    </row>
    <row r="207" spans="1:4" x14ac:dyDescent="0.35">
      <c r="A207" s="713" t="s">
        <v>745</v>
      </c>
      <c r="B207" s="714">
        <v>44681</v>
      </c>
      <c r="C207" s="713" t="s">
        <v>714</v>
      </c>
      <c r="D207" s="897">
        <v>113311.2</v>
      </c>
    </row>
    <row r="208" spans="1:4" x14ac:dyDescent="0.35">
      <c r="A208" s="713" t="s">
        <v>769</v>
      </c>
      <c r="B208" s="714"/>
      <c r="C208" s="713"/>
      <c r="D208" s="897">
        <f>SUM(D203:D207)</f>
        <v>483742.55</v>
      </c>
    </row>
    <row r="209" spans="1:4" x14ac:dyDescent="0.35">
      <c r="A209" s="325"/>
      <c r="B209" s="708"/>
      <c r="C209" s="325"/>
      <c r="D209" s="896"/>
    </row>
    <row r="210" spans="1:4" x14ac:dyDescent="0.35">
      <c r="A210" s="713" t="s">
        <v>746</v>
      </c>
      <c r="B210" s="714">
        <v>44681</v>
      </c>
      <c r="C210" s="713" t="s">
        <v>709</v>
      </c>
      <c r="D210" s="897">
        <v>12914.19</v>
      </c>
    </row>
    <row r="211" spans="1:4" x14ac:dyDescent="0.35">
      <c r="A211" s="713" t="s">
        <v>746</v>
      </c>
      <c r="B211" s="714">
        <v>44681</v>
      </c>
      <c r="C211" s="713" t="s">
        <v>714</v>
      </c>
      <c r="D211" s="897">
        <v>7931.2</v>
      </c>
    </row>
    <row r="212" spans="1:4" x14ac:dyDescent="0.35">
      <c r="A212" s="713" t="s">
        <v>746</v>
      </c>
      <c r="B212" s="714">
        <v>44681</v>
      </c>
      <c r="C212" s="713" t="s">
        <v>707</v>
      </c>
      <c r="D212" s="897">
        <v>44415</v>
      </c>
    </row>
    <row r="213" spans="1:4" x14ac:dyDescent="0.35">
      <c r="A213" s="713" t="s">
        <v>769</v>
      </c>
      <c r="B213" s="714"/>
      <c r="C213" s="713"/>
      <c r="D213" s="897">
        <f>SUM(D210:D212)</f>
        <v>65260.39</v>
      </c>
    </row>
    <row r="214" spans="1:4" x14ac:dyDescent="0.35">
      <c r="A214" s="325"/>
      <c r="B214" s="708"/>
      <c r="C214" s="325"/>
      <c r="D214" s="896"/>
    </row>
    <row r="215" spans="1:4" x14ac:dyDescent="0.35">
      <c r="A215" s="713" t="s">
        <v>748</v>
      </c>
      <c r="B215" s="714">
        <v>44681</v>
      </c>
      <c r="C215" s="713" t="s">
        <v>713</v>
      </c>
      <c r="D215" s="897">
        <v>3645.9</v>
      </c>
    </row>
    <row r="216" spans="1:4" x14ac:dyDescent="0.35">
      <c r="A216" s="713" t="s">
        <v>748</v>
      </c>
      <c r="B216" s="714">
        <v>44681</v>
      </c>
      <c r="C216" s="713" t="s">
        <v>709</v>
      </c>
      <c r="D216" s="897">
        <v>259151.8</v>
      </c>
    </row>
    <row r="217" spans="1:4" x14ac:dyDescent="0.35">
      <c r="A217" s="713" t="s">
        <v>748</v>
      </c>
      <c r="B217" s="714">
        <v>44681</v>
      </c>
      <c r="C217" s="713" t="s">
        <v>712</v>
      </c>
      <c r="D217" s="897">
        <v>50</v>
      </c>
    </row>
    <row r="218" spans="1:4" x14ac:dyDescent="0.35">
      <c r="A218" s="713" t="s">
        <v>748</v>
      </c>
      <c r="B218" s="714">
        <v>44681</v>
      </c>
      <c r="C218" s="713" t="s">
        <v>714</v>
      </c>
      <c r="D218" s="897">
        <v>38078.199999999997</v>
      </c>
    </row>
    <row r="219" spans="1:4" x14ac:dyDescent="0.35">
      <c r="A219" s="713" t="s">
        <v>769</v>
      </c>
      <c r="B219" s="714"/>
      <c r="C219" s="713"/>
      <c r="D219" s="897">
        <f>SUM(D215:D218)</f>
        <v>300925.90000000002</v>
      </c>
    </row>
    <row r="220" spans="1:4" x14ac:dyDescent="0.35">
      <c r="A220" s="325"/>
      <c r="B220" s="708"/>
      <c r="C220" s="325"/>
      <c r="D220" s="896"/>
    </row>
    <row r="221" spans="1:4" x14ac:dyDescent="0.35">
      <c r="A221" s="713" t="s">
        <v>749</v>
      </c>
      <c r="B221" s="714">
        <v>44681</v>
      </c>
      <c r="C221" s="713" t="s">
        <v>714</v>
      </c>
      <c r="D221" s="897">
        <v>5216.8</v>
      </c>
    </row>
    <row r="222" spans="1:4" x14ac:dyDescent="0.35">
      <c r="A222" s="713" t="s">
        <v>749</v>
      </c>
      <c r="B222" s="714">
        <v>44681</v>
      </c>
      <c r="C222" s="713" t="s">
        <v>713</v>
      </c>
      <c r="D222" s="897">
        <v>490</v>
      </c>
    </row>
    <row r="223" spans="1:4" x14ac:dyDescent="0.35">
      <c r="A223" s="713" t="s">
        <v>749</v>
      </c>
      <c r="B223" s="714">
        <v>44681</v>
      </c>
      <c r="C223" s="713" t="s">
        <v>712</v>
      </c>
      <c r="D223" s="897">
        <v>100</v>
      </c>
    </row>
    <row r="224" spans="1:4" x14ac:dyDescent="0.35">
      <c r="A224" s="713" t="s">
        <v>749</v>
      </c>
      <c r="B224" s="714">
        <v>44681</v>
      </c>
      <c r="C224" s="713" t="s">
        <v>707</v>
      </c>
      <c r="D224" s="897">
        <v>20316</v>
      </c>
    </row>
    <row r="225" spans="1:4" x14ac:dyDescent="0.35">
      <c r="A225" s="713" t="s">
        <v>749</v>
      </c>
      <c r="B225" s="714">
        <v>44681</v>
      </c>
      <c r="C225" s="713" t="s">
        <v>709</v>
      </c>
      <c r="D225" s="897">
        <v>62503.26</v>
      </c>
    </row>
    <row r="226" spans="1:4" x14ac:dyDescent="0.35">
      <c r="A226" s="713" t="s">
        <v>769</v>
      </c>
      <c r="B226" s="714"/>
      <c r="C226" s="713"/>
      <c r="D226" s="897">
        <f>SUM(D221:D225)</f>
        <v>88626.06</v>
      </c>
    </row>
    <row r="227" spans="1:4" x14ac:dyDescent="0.35">
      <c r="A227" s="325"/>
      <c r="B227" s="708"/>
      <c r="C227" s="325"/>
      <c r="D227" s="896"/>
    </row>
    <row r="228" spans="1:4" x14ac:dyDescent="0.35">
      <c r="A228" s="713" t="s">
        <v>750</v>
      </c>
      <c r="B228" s="714">
        <v>44681</v>
      </c>
      <c r="C228" s="713" t="s">
        <v>714</v>
      </c>
      <c r="D228" s="897">
        <v>285101.3</v>
      </c>
    </row>
    <row r="229" spans="1:4" x14ac:dyDescent="0.35">
      <c r="A229" s="713" t="s">
        <v>750</v>
      </c>
      <c r="B229" s="714">
        <v>44681</v>
      </c>
      <c r="C229" s="713" t="s">
        <v>712</v>
      </c>
      <c r="D229" s="897">
        <v>2062.6</v>
      </c>
    </row>
    <row r="230" spans="1:4" x14ac:dyDescent="0.35">
      <c r="A230" s="713" t="s">
        <v>750</v>
      </c>
      <c r="B230" s="714">
        <v>44681</v>
      </c>
      <c r="C230" s="713" t="s">
        <v>707</v>
      </c>
      <c r="D230" s="897">
        <v>583294</v>
      </c>
    </row>
    <row r="231" spans="1:4" x14ac:dyDescent="0.35">
      <c r="A231" s="713" t="s">
        <v>750</v>
      </c>
      <c r="B231" s="714">
        <v>44681</v>
      </c>
      <c r="C231" s="713" t="s">
        <v>713</v>
      </c>
      <c r="D231" s="897">
        <v>3175.5</v>
      </c>
    </row>
    <row r="232" spans="1:4" x14ac:dyDescent="0.35">
      <c r="A232" s="713" t="s">
        <v>750</v>
      </c>
      <c r="B232" s="714">
        <v>44681</v>
      </c>
      <c r="C232" s="713" t="s">
        <v>709</v>
      </c>
      <c r="D232" s="897">
        <v>133056.95000000001</v>
      </c>
    </row>
    <row r="233" spans="1:4" x14ac:dyDescent="0.35">
      <c r="A233" s="713" t="s">
        <v>769</v>
      </c>
      <c r="B233" s="714"/>
      <c r="C233" s="713"/>
      <c r="D233" s="897">
        <f>SUM(D228:D232)</f>
        <v>1006690.3499999999</v>
      </c>
    </row>
    <row r="234" spans="1:4" x14ac:dyDescent="0.35">
      <c r="A234" s="325"/>
      <c r="B234" s="708"/>
      <c r="C234" s="325"/>
      <c r="D234" s="896"/>
    </row>
    <row r="235" spans="1:4" x14ac:dyDescent="0.35">
      <c r="A235" s="713" t="s">
        <v>751</v>
      </c>
      <c r="B235" s="714">
        <v>44681</v>
      </c>
      <c r="C235" s="713" t="s">
        <v>709</v>
      </c>
      <c r="D235" s="897">
        <v>3334.6</v>
      </c>
    </row>
    <row r="236" spans="1:4" x14ac:dyDescent="0.35">
      <c r="A236" s="713" t="s">
        <v>751</v>
      </c>
      <c r="B236" s="714">
        <v>44681</v>
      </c>
      <c r="C236" s="713" t="s">
        <v>713</v>
      </c>
      <c r="D236" s="897">
        <v>7995.1</v>
      </c>
    </row>
    <row r="237" spans="1:4" x14ac:dyDescent="0.35">
      <c r="A237" s="713" t="s">
        <v>751</v>
      </c>
      <c r="B237" s="714">
        <v>44681</v>
      </c>
      <c r="C237" s="713" t="s">
        <v>712</v>
      </c>
      <c r="D237" s="897">
        <v>95</v>
      </c>
    </row>
    <row r="238" spans="1:4" x14ac:dyDescent="0.35">
      <c r="A238" s="713" t="s">
        <v>751</v>
      </c>
      <c r="B238" s="714">
        <v>44681</v>
      </c>
      <c r="C238" s="713" t="s">
        <v>707</v>
      </c>
      <c r="D238" s="897">
        <v>870813</v>
      </c>
    </row>
    <row r="239" spans="1:4" x14ac:dyDescent="0.35">
      <c r="A239" s="713" t="s">
        <v>751</v>
      </c>
      <c r="B239" s="714">
        <v>44681</v>
      </c>
      <c r="C239" s="713" t="s">
        <v>714</v>
      </c>
      <c r="D239" s="897">
        <v>187644.5</v>
      </c>
    </row>
    <row r="240" spans="1:4" x14ac:dyDescent="0.35">
      <c r="A240" s="713" t="s">
        <v>769</v>
      </c>
      <c r="B240" s="714"/>
      <c r="C240" s="713"/>
      <c r="D240" s="897">
        <f>SUM(D235:D239)</f>
        <v>1069882.2</v>
      </c>
    </row>
    <row r="241" spans="1:4" x14ac:dyDescent="0.35">
      <c r="A241" s="713"/>
      <c r="B241" s="714"/>
      <c r="C241" s="713"/>
      <c r="D241" s="897"/>
    </row>
    <row r="242" spans="1:4" x14ac:dyDescent="0.35">
      <c r="A242" s="713" t="s">
        <v>752</v>
      </c>
      <c r="B242" s="714">
        <v>44681</v>
      </c>
      <c r="C242" s="713" t="s">
        <v>709</v>
      </c>
      <c r="D242" s="897">
        <v>21191.55</v>
      </c>
    </row>
    <row r="243" spans="1:4" x14ac:dyDescent="0.35">
      <c r="A243" s="713" t="s">
        <v>752</v>
      </c>
      <c r="B243" s="714">
        <v>44681</v>
      </c>
      <c r="C243" s="713" t="s">
        <v>714</v>
      </c>
      <c r="D243" s="897">
        <v>7502.5</v>
      </c>
    </row>
    <row r="244" spans="1:4" x14ac:dyDescent="0.35">
      <c r="A244" s="713" t="s">
        <v>752</v>
      </c>
      <c r="B244" s="714">
        <v>44681</v>
      </c>
      <c r="C244" s="713" t="s">
        <v>712</v>
      </c>
      <c r="D244" s="897">
        <v>1075</v>
      </c>
    </row>
    <row r="245" spans="1:4" x14ac:dyDescent="0.35">
      <c r="A245" s="713" t="s">
        <v>769</v>
      </c>
      <c r="B245" s="714"/>
      <c r="C245" s="713"/>
      <c r="D245" s="897">
        <f>SUM(D242:D244)</f>
        <v>29769.05</v>
      </c>
    </row>
    <row r="246" spans="1:4" x14ac:dyDescent="0.35">
      <c r="A246" s="325"/>
      <c r="B246" s="708"/>
      <c r="C246" s="325"/>
      <c r="D246" s="896"/>
    </row>
    <row r="247" spans="1:4" x14ac:dyDescent="0.35">
      <c r="A247" s="713" t="s">
        <v>753</v>
      </c>
      <c r="B247" s="714">
        <v>44681</v>
      </c>
      <c r="C247" s="713" t="s">
        <v>713</v>
      </c>
      <c r="D247" s="897">
        <v>2342.3000000000002</v>
      </c>
    </row>
    <row r="248" spans="1:4" x14ac:dyDescent="0.35">
      <c r="A248" s="713" t="s">
        <v>753</v>
      </c>
      <c r="B248" s="714">
        <v>44681</v>
      </c>
      <c r="C248" s="713" t="s">
        <v>714</v>
      </c>
      <c r="D248" s="897">
        <v>62157.4</v>
      </c>
    </row>
    <row r="249" spans="1:4" x14ac:dyDescent="0.35">
      <c r="A249" s="713" t="s">
        <v>753</v>
      </c>
      <c r="B249" s="714">
        <v>44681</v>
      </c>
      <c r="C249" s="713" t="s">
        <v>707</v>
      </c>
      <c r="D249" s="897">
        <v>210769</v>
      </c>
    </row>
    <row r="250" spans="1:4" x14ac:dyDescent="0.35">
      <c r="A250" s="713" t="s">
        <v>769</v>
      </c>
      <c r="B250" s="714"/>
      <c r="C250" s="713"/>
      <c r="D250" s="897">
        <f>SUM(D247:D249)</f>
        <v>275268.7</v>
      </c>
    </row>
    <row r="251" spans="1:4" x14ac:dyDescent="0.35">
      <c r="A251" s="325"/>
      <c r="B251" s="708"/>
      <c r="C251" s="325"/>
      <c r="D251" s="896"/>
    </row>
    <row r="252" spans="1:4" x14ac:dyDescent="0.35">
      <c r="A252" s="713" t="s">
        <v>754</v>
      </c>
      <c r="B252" s="714">
        <v>44681</v>
      </c>
      <c r="C252" s="713" t="s">
        <v>714</v>
      </c>
      <c r="D252" s="897">
        <v>826903</v>
      </c>
    </row>
    <row r="253" spans="1:4" x14ac:dyDescent="0.35">
      <c r="A253" s="713" t="s">
        <v>754</v>
      </c>
      <c r="B253" s="714">
        <v>44681</v>
      </c>
      <c r="C253" s="713" t="s">
        <v>712</v>
      </c>
      <c r="D253" s="897">
        <v>4752.6000000000004</v>
      </c>
    </row>
    <row r="254" spans="1:4" x14ac:dyDescent="0.35">
      <c r="A254" s="713" t="s">
        <v>754</v>
      </c>
      <c r="B254" s="714">
        <v>44681</v>
      </c>
      <c r="C254" s="713" t="s">
        <v>713</v>
      </c>
      <c r="D254" s="897">
        <v>18235.5</v>
      </c>
    </row>
    <row r="255" spans="1:4" x14ac:dyDescent="0.35">
      <c r="A255" s="713" t="s">
        <v>754</v>
      </c>
      <c r="B255" s="714">
        <v>44681</v>
      </c>
      <c r="C255" s="713" t="s">
        <v>709</v>
      </c>
      <c r="D255" s="897">
        <v>2714862.8</v>
      </c>
    </row>
    <row r="256" spans="1:4" x14ac:dyDescent="0.35">
      <c r="A256" s="713" t="s">
        <v>754</v>
      </c>
      <c r="B256" s="714">
        <v>44681</v>
      </c>
      <c r="C256" s="713" t="s">
        <v>719</v>
      </c>
      <c r="D256" s="897">
        <v>5379.64</v>
      </c>
    </row>
    <row r="257" spans="1:4" x14ac:dyDescent="0.35">
      <c r="A257" s="713" t="s">
        <v>754</v>
      </c>
      <c r="B257" s="714">
        <v>44681</v>
      </c>
      <c r="C257" s="713" t="s">
        <v>707</v>
      </c>
      <c r="D257" s="897">
        <v>2871506</v>
      </c>
    </row>
    <row r="258" spans="1:4" x14ac:dyDescent="0.35">
      <c r="A258" s="713" t="s">
        <v>769</v>
      </c>
      <c r="B258" s="714"/>
      <c r="C258" s="713"/>
      <c r="D258" s="897">
        <f>SUM(D252:D257)</f>
        <v>6441639.54</v>
      </c>
    </row>
    <row r="259" spans="1:4" x14ac:dyDescent="0.35">
      <c r="A259" s="325"/>
      <c r="B259" s="708"/>
      <c r="C259" s="325"/>
      <c r="D259" s="896"/>
    </row>
    <row r="260" spans="1:4" x14ac:dyDescent="0.35">
      <c r="A260" s="713" t="s">
        <v>755</v>
      </c>
      <c r="B260" s="714">
        <v>44681</v>
      </c>
      <c r="C260" s="713" t="s">
        <v>712</v>
      </c>
      <c r="D260" s="897">
        <v>327.9</v>
      </c>
    </row>
    <row r="261" spans="1:4" x14ac:dyDescent="0.35">
      <c r="A261" s="713" t="s">
        <v>755</v>
      </c>
      <c r="B261" s="714">
        <v>44681</v>
      </c>
      <c r="C261" s="713" t="s">
        <v>714</v>
      </c>
      <c r="D261" s="897">
        <v>437811.4</v>
      </c>
    </row>
    <row r="262" spans="1:4" x14ac:dyDescent="0.35">
      <c r="A262" s="713" t="s">
        <v>755</v>
      </c>
      <c r="B262" s="714">
        <v>44681</v>
      </c>
      <c r="C262" s="713" t="s">
        <v>713</v>
      </c>
      <c r="D262" s="897">
        <v>23970</v>
      </c>
    </row>
    <row r="263" spans="1:4" x14ac:dyDescent="0.35">
      <c r="A263" s="713" t="s">
        <v>755</v>
      </c>
      <c r="B263" s="714">
        <v>44681</v>
      </c>
      <c r="C263" s="713" t="s">
        <v>709</v>
      </c>
      <c r="D263" s="897">
        <v>12250.99</v>
      </c>
    </row>
    <row r="264" spans="1:4" x14ac:dyDescent="0.35">
      <c r="A264" s="713" t="s">
        <v>755</v>
      </c>
      <c r="B264" s="714">
        <v>44681</v>
      </c>
      <c r="C264" s="713" t="s">
        <v>707</v>
      </c>
      <c r="D264" s="897">
        <v>2163435</v>
      </c>
    </row>
    <row r="265" spans="1:4" x14ac:dyDescent="0.35">
      <c r="A265" s="713" t="s">
        <v>769</v>
      </c>
      <c r="B265" s="714"/>
      <c r="C265" s="713"/>
      <c r="D265" s="897">
        <f>SUM(D260:D264)</f>
        <v>2637795.29</v>
      </c>
    </row>
    <row r="266" spans="1:4" x14ac:dyDescent="0.35">
      <c r="A266" s="713"/>
      <c r="B266" s="714"/>
      <c r="C266" s="713"/>
      <c r="D266" s="897"/>
    </row>
    <row r="267" spans="1:4" x14ac:dyDescent="0.35">
      <c r="A267" s="713" t="s">
        <v>757</v>
      </c>
      <c r="B267" s="714">
        <v>44681</v>
      </c>
      <c r="C267" s="713" t="s">
        <v>714</v>
      </c>
      <c r="D267" s="897">
        <v>2675.6</v>
      </c>
    </row>
    <row r="268" spans="1:4" x14ac:dyDescent="0.35">
      <c r="A268" s="713" t="s">
        <v>757</v>
      </c>
      <c r="B268" s="714">
        <v>44681</v>
      </c>
      <c r="C268" s="713" t="s">
        <v>707</v>
      </c>
      <c r="D268" s="897">
        <v>64040</v>
      </c>
    </row>
    <row r="269" spans="1:4" x14ac:dyDescent="0.35">
      <c r="A269" s="713" t="s">
        <v>757</v>
      </c>
      <c r="B269" s="714">
        <v>44681</v>
      </c>
      <c r="C269" s="713" t="s">
        <v>713</v>
      </c>
      <c r="D269" s="897">
        <v>801.5</v>
      </c>
    </row>
    <row r="270" spans="1:4" x14ac:dyDescent="0.35">
      <c r="A270" s="713" t="s">
        <v>757</v>
      </c>
      <c r="B270" s="714">
        <v>44681</v>
      </c>
      <c r="C270" s="713" t="s">
        <v>709</v>
      </c>
      <c r="D270" s="897">
        <v>7190.1</v>
      </c>
    </row>
    <row r="271" spans="1:4" x14ac:dyDescent="0.35">
      <c r="A271" s="713" t="s">
        <v>769</v>
      </c>
      <c r="B271" s="714"/>
      <c r="C271" s="713"/>
      <c r="D271" s="897">
        <f>SUM(D267:D270)</f>
        <v>74707.200000000012</v>
      </c>
    </row>
    <row r="272" spans="1:4" x14ac:dyDescent="0.35">
      <c r="A272" s="325"/>
      <c r="B272" s="708"/>
      <c r="C272" s="325"/>
      <c r="D272" s="896"/>
    </row>
    <row r="273" spans="1:4" x14ac:dyDescent="0.35">
      <c r="A273" s="713" t="s">
        <v>758</v>
      </c>
      <c r="B273" s="714">
        <v>44681</v>
      </c>
      <c r="C273" s="713" t="s">
        <v>709</v>
      </c>
      <c r="D273" s="897">
        <v>59853.63</v>
      </c>
    </row>
    <row r="274" spans="1:4" x14ac:dyDescent="0.35">
      <c r="A274" s="713" t="s">
        <v>769</v>
      </c>
      <c r="B274" s="714"/>
      <c r="C274" s="713"/>
      <c r="D274" s="897">
        <f>SUM(D273)</f>
        <v>59853.63</v>
      </c>
    </row>
    <row r="275" spans="1:4" x14ac:dyDescent="0.35">
      <c r="A275" s="325"/>
      <c r="B275" s="708"/>
      <c r="C275" s="325"/>
      <c r="D275" s="896"/>
    </row>
    <row r="276" spans="1:4" x14ac:dyDescent="0.35">
      <c r="A276" s="713" t="s">
        <v>759</v>
      </c>
      <c r="B276" s="714">
        <v>44681</v>
      </c>
      <c r="C276" s="713" t="s">
        <v>712</v>
      </c>
      <c r="D276" s="897">
        <v>6015.3</v>
      </c>
    </row>
    <row r="277" spans="1:4" x14ac:dyDescent="0.35">
      <c r="A277" s="713" t="s">
        <v>759</v>
      </c>
      <c r="B277" s="714">
        <v>44681</v>
      </c>
      <c r="C277" s="713" t="s">
        <v>713</v>
      </c>
      <c r="D277" s="897">
        <v>59553.8</v>
      </c>
    </row>
    <row r="278" spans="1:4" x14ac:dyDescent="0.35">
      <c r="A278" s="713" t="s">
        <v>759</v>
      </c>
      <c r="B278" s="714">
        <v>44681</v>
      </c>
      <c r="C278" s="713" t="s">
        <v>709</v>
      </c>
      <c r="D278" s="897">
        <v>265805.07</v>
      </c>
    </row>
    <row r="279" spans="1:4" x14ac:dyDescent="0.35">
      <c r="A279" s="713" t="s">
        <v>759</v>
      </c>
      <c r="B279" s="714">
        <v>44681</v>
      </c>
      <c r="C279" s="713" t="s">
        <v>719</v>
      </c>
      <c r="D279" s="897">
        <v>29514.16</v>
      </c>
    </row>
    <row r="280" spans="1:4" x14ac:dyDescent="0.35">
      <c r="A280" s="713" t="s">
        <v>759</v>
      </c>
      <c r="B280" s="714">
        <v>44681</v>
      </c>
      <c r="C280" s="713" t="s">
        <v>714</v>
      </c>
      <c r="D280" s="897">
        <v>1435580.5</v>
      </c>
    </row>
    <row r="281" spans="1:4" x14ac:dyDescent="0.35">
      <c r="A281" s="713" t="s">
        <v>759</v>
      </c>
      <c r="B281" s="714">
        <v>44681</v>
      </c>
      <c r="C281" s="713" t="s">
        <v>707</v>
      </c>
      <c r="D281" s="897">
        <v>4304007</v>
      </c>
    </row>
    <row r="282" spans="1:4" x14ac:dyDescent="0.35">
      <c r="A282" s="713" t="s">
        <v>769</v>
      </c>
      <c r="B282" s="714"/>
      <c r="C282" s="713"/>
      <c r="D282" s="897">
        <f>SUM(D276:D281)</f>
        <v>6100475.8300000001</v>
      </c>
    </row>
    <row r="283" spans="1:4" x14ac:dyDescent="0.35">
      <c r="A283" s="325"/>
      <c r="B283" s="708"/>
      <c r="C283" s="325"/>
      <c r="D283" s="896"/>
    </row>
    <row r="284" spans="1:4" x14ac:dyDescent="0.35">
      <c r="A284" s="713" t="s">
        <v>761</v>
      </c>
      <c r="B284" s="714">
        <v>44681</v>
      </c>
      <c r="C284" s="713" t="s">
        <v>707</v>
      </c>
      <c r="D284" s="897">
        <v>8749</v>
      </c>
    </row>
    <row r="285" spans="1:4" x14ac:dyDescent="0.35">
      <c r="A285" s="713" t="s">
        <v>769</v>
      </c>
      <c r="B285" s="714"/>
      <c r="C285" s="713"/>
      <c r="D285" s="897">
        <f>SUM(D284)</f>
        <v>8749</v>
      </c>
    </row>
    <row r="286" spans="1:4" x14ac:dyDescent="0.35">
      <c r="A286" s="325"/>
      <c r="B286" s="708"/>
      <c r="C286" s="325"/>
      <c r="D286" s="896"/>
    </row>
    <row r="287" spans="1:4" x14ac:dyDescent="0.35">
      <c r="A287" s="713" t="s">
        <v>762</v>
      </c>
      <c r="B287" s="714">
        <v>44681</v>
      </c>
      <c r="C287" s="713" t="s">
        <v>707</v>
      </c>
      <c r="D287" s="897">
        <v>7752</v>
      </c>
    </row>
    <row r="288" spans="1:4" x14ac:dyDescent="0.35">
      <c r="A288" s="713" t="s">
        <v>769</v>
      </c>
      <c r="B288" s="714"/>
      <c r="C288" s="713"/>
      <c r="D288" s="897">
        <f>SUM(D287)</f>
        <v>7752</v>
      </c>
    </row>
    <row r="289" spans="1:4" x14ac:dyDescent="0.35">
      <c r="A289" s="325"/>
      <c r="B289" s="708"/>
      <c r="C289" s="325"/>
      <c r="D289" s="896"/>
    </row>
    <row r="290" spans="1:4" x14ac:dyDescent="0.35">
      <c r="A290" s="713" t="s">
        <v>763</v>
      </c>
      <c r="B290" s="714">
        <v>44681</v>
      </c>
      <c r="C290" s="713" t="s">
        <v>713</v>
      </c>
      <c r="D290" s="897">
        <v>1178.5</v>
      </c>
    </row>
    <row r="291" spans="1:4" x14ac:dyDescent="0.35">
      <c r="A291" s="713" t="s">
        <v>763</v>
      </c>
      <c r="B291" s="714">
        <v>44681</v>
      </c>
      <c r="C291" s="713" t="s">
        <v>724</v>
      </c>
      <c r="D291" s="897">
        <v>0</v>
      </c>
    </row>
    <row r="292" spans="1:4" x14ac:dyDescent="0.35">
      <c r="A292" s="713" t="s">
        <v>763</v>
      </c>
      <c r="B292" s="714">
        <v>44681</v>
      </c>
      <c r="C292" s="713" t="s">
        <v>707</v>
      </c>
      <c r="D292" s="897">
        <v>164185</v>
      </c>
    </row>
    <row r="293" spans="1:4" x14ac:dyDescent="0.35">
      <c r="A293" s="713" t="s">
        <v>763</v>
      </c>
      <c r="B293" s="714">
        <v>44681</v>
      </c>
      <c r="C293" s="713" t="s">
        <v>714</v>
      </c>
      <c r="D293" s="897">
        <v>31799.4</v>
      </c>
    </row>
    <row r="294" spans="1:4" x14ac:dyDescent="0.35">
      <c r="A294" s="713" t="s">
        <v>769</v>
      </c>
      <c r="B294" s="714"/>
      <c r="C294" s="713"/>
      <c r="D294" s="897">
        <f>SUM(D290:D293)</f>
        <v>197162.9</v>
      </c>
    </row>
    <row r="295" spans="1:4" x14ac:dyDescent="0.35">
      <c r="A295" s="325"/>
      <c r="B295" s="708"/>
      <c r="C295" s="325"/>
      <c r="D295" s="896"/>
    </row>
    <row r="296" spans="1:4" x14ac:dyDescent="0.35">
      <c r="A296" s="713" t="s">
        <v>764</v>
      </c>
      <c r="B296" s="714">
        <v>44681</v>
      </c>
      <c r="C296" s="713" t="s">
        <v>713</v>
      </c>
      <c r="D296" s="897">
        <v>488</v>
      </c>
    </row>
    <row r="297" spans="1:4" x14ac:dyDescent="0.35">
      <c r="A297" s="713" t="s">
        <v>764</v>
      </c>
      <c r="B297" s="714">
        <v>44681</v>
      </c>
      <c r="C297" s="713" t="s">
        <v>707</v>
      </c>
      <c r="D297" s="897">
        <v>7947</v>
      </c>
    </row>
    <row r="298" spans="1:4" x14ac:dyDescent="0.35">
      <c r="A298" s="713" t="s">
        <v>764</v>
      </c>
      <c r="B298" s="714">
        <v>44681</v>
      </c>
      <c r="C298" s="713" t="s">
        <v>714</v>
      </c>
      <c r="D298" s="897">
        <v>4106.7</v>
      </c>
    </row>
    <row r="299" spans="1:4" x14ac:dyDescent="0.35">
      <c r="A299" s="713" t="s">
        <v>769</v>
      </c>
      <c r="B299" s="714"/>
      <c r="C299" s="713"/>
      <c r="D299" s="897">
        <f>SUM(D296:D298)</f>
        <v>12541.7</v>
      </c>
    </row>
    <row r="300" spans="1:4" x14ac:dyDescent="0.35">
      <c r="A300" s="325"/>
      <c r="B300" s="708"/>
      <c r="C300" s="325"/>
      <c r="D300" s="896"/>
    </row>
    <row r="301" spans="1:4" x14ac:dyDescent="0.35">
      <c r="A301" s="713" t="s">
        <v>765</v>
      </c>
      <c r="B301" s="714">
        <v>44681</v>
      </c>
      <c r="C301" s="713" t="s">
        <v>714</v>
      </c>
      <c r="D301" s="897">
        <v>184159.9</v>
      </c>
    </row>
    <row r="302" spans="1:4" x14ac:dyDescent="0.35">
      <c r="A302" s="713" t="s">
        <v>765</v>
      </c>
      <c r="B302" s="714">
        <v>44681</v>
      </c>
      <c r="C302" s="713" t="s">
        <v>707</v>
      </c>
      <c r="D302" s="897">
        <v>445080</v>
      </c>
    </row>
    <row r="303" spans="1:4" x14ac:dyDescent="0.35">
      <c r="A303" s="713" t="s">
        <v>765</v>
      </c>
      <c r="B303" s="714">
        <v>44681</v>
      </c>
      <c r="C303" s="713" t="s">
        <v>712</v>
      </c>
      <c r="D303" s="897">
        <v>1458</v>
      </c>
    </row>
    <row r="304" spans="1:4" x14ac:dyDescent="0.35">
      <c r="A304" s="713" t="s">
        <v>765</v>
      </c>
      <c r="B304" s="714">
        <v>44681</v>
      </c>
      <c r="C304" s="713" t="s">
        <v>713</v>
      </c>
      <c r="D304" s="897">
        <v>9904.6</v>
      </c>
    </row>
    <row r="305" spans="1:4" x14ac:dyDescent="0.35">
      <c r="A305" s="713" t="s">
        <v>765</v>
      </c>
      <c r="B305" s="714">
        <v>44681</v>
      </c>
      <c r="C305" s="713" t="s">
        <v>709</v>
      </c>
      <c r="D305" s="897">
        <v>47352.98</v>
      </c>
    </row>
    <row r="306" spans="1:4" x14ac:dyDescent="0.35">
      <c r="A306" s="713" t="s">
        <v>769</v>
      </c>
      <c r="B306" s="714"/>
      <c r="C306" s="713"/>
      <c r="D306" s="897">
        <f>SUM(D301:D305)</f>
        <v>687955.48</v>
      </c>
    </row>
    <row r="307" spans="1:4" x14ac:dyDescent="0.35">
      <c r="A307" s="325"/>
      <c r="B307" s="708"/>
      <c r="C307" s="325"/>
      <c r="D307" s="896"/>
    </row>
    <row r="308" spans="1:4" x14ac:dyDescent="0.35">
      <c r="A308" s="713" t="s">
        <v>766</v>
      </c>
      <c r="B308" s="714">
        <v>44681</v>
      </c>
      <c r="C308" s="713" t="s">
        <v>707</v>
      </c>
      <c r="D308" s="897">
        <v>357766</v>
      </c>
    </row>
    <row r="309" spans="1:4" x14ac:dyDescent="0.35">
      <c r="A309" s="713" t="s">
        <v>766</v>
      </c>
      <c r="B309" s="714">
        <v>44681</v>
      </c>
      <c r="C309" s="713" t="s">
        <v>714</v>
      </c>
      <c r="D309" s="897">
        <v>116041.1</v>
      </c>
    </row>
    <row r="310" spans="1:4" x14ac:dyDescent="0.35">
      <c r="A310" s="713" t="s">
        <v>766</v>
      </c>
      <c r="B310" s="714">
        <v>44681</v>
      </c>
      <c r="C310" s="713" t="s">
        <v>713</v>
      </c>
      <c r="D310" s="897">
        <v>2861.5</v>
      </c>
    </row>
    <row r="311" spans="1:4" x14ac:dyDescent="0.35">
      <c r="A311" s="713" t="s">
        <v>766</v>
      </c>
      <c r="B311" s="714">
        <v>44681</v>
      </c>
      <c r="C311" s="713" t="s">
        <v>709</v>
      </c>
      <c r="D311" s="897">
        <v>7679.6</v>
      </c>
    </row>
    <row r="312" spans="1:4" x14ac:dyDescent="0.35">
      <c r="A312" s="713" t="s">
        <v>766</v>
      </c>
      <c r="B312" s="714">
        <v>44681</v>
      </c>
      <c r="C312" s="713" t="s">
        <v>712</v>
      </c>
      <c r="D312" s="897">
        <v>220</v>
      </c>
    </row>
    <row r="313" spans="1:4" x14ac:dyDescent="0.35">
      <c r="A313" s="713" t="s">
        <v>769</v>
      </c>
      <c r="B313" s="714"/>
      <c r="C313" s="713"/>
      <c r="D313" s="897">
        <f>SUM(D308:D312)</f>
        <v>484568.19999999995</v>
      </c>
    </row>
    <row r="314" spans="1:4" x14ac:dyDescent="0.35">
      <c r="A314" s="325"/>
      <c r="B314" s="708"/>
      <c r="C314" s="325"/>
      <c r="D314" s="896"/>
    </row>
    <row r="315" spans="1:4" x14ac:dyDescent="0.35">
      <c r="A315" s="713" t="s">
        <v>767</v>
      </c>
      <c r="B315" s="714">
        <v>44681</v>
      </c>
      <c r="C315" s="713" t="s">
        <v>709</v>
      </c>
      <c r="D315" s="897">
        <v>18015</v>
      </c>
    </row>
    <row r="316" spans="1:4" x14ac:dyDescent="0.35">
      <c r="A316" s="713" t="s">
        <v>767</v>
      </c>
      <c r="B316" s="714">
        <v>44681</v>
      </c>
      <c r="C316" s="713" t="s">
        <v>707</v>
      </c>
      <c r="D316" s="897">
        <v>21858</v>
      </c>
    </row>
    <row r="317" spans="1:4" x14ac:dyDescent="0.35">
      <c r="A317" s="713" t="s">
        <v>769</v>
      </c>
      <c r="B317" s="714"/>
      <c r="C317" s="713"/>
      <c r="D317" s="897">
        <f>SUM(D315:D316)</f>
        <v>39873</v>
      </c>
    </row>
    <row r="318" spans="1:4" x14ac:dyDescent="0.35">
      <c r="A318" s="325"/>
      <c r="B318" s="708"/>
      <c r="C318" s="325"/>
      <c r="D318" s="896"/>
    </row>
    <row r="319" spans="1:4" x14ac:dyDescent="0.35">
      <c r="A319" s="713" t="s">
        <v>768</v>
      </c>
      <c r="B319" s="714">
        <v>44681</v>
      </c>
      <c r="C319" s="713" t="s">
        <v>712</v>
      </c>
      <c r="D319" s="897">
        <v>70</v>
      </c>
    </row>
    <row r="320" spans="1:4" x14ac:dyDescent="0.35">
      <c r="A320" s="713" t="s">
        <v>768</v>
      </c>
      <c r="B320" s="714">
        <v>44681</v>
      </c>
      <c r="C320" s="713" t="s">
        <v>719</v>
      </c>
      <c r="D320" s="897">
        <v>8847.85</v>
      </c>
    </row>
    <row r="321" spans="1:4" x14ac:dyDescent="0.35">
      <c r="A321" s="713" t="s">
        <v>768</v>
      </c>
      <c r="B321" s="714">
        <v>44681</v>
      </c>
      <c r="C321" s="713" t="s">
        <v>714</v>
      </c>
      <c r="D321" s="897">
        <v>97461.5</v>
      </c>
    </row>
    <row r="322" spans="1:4" x14ac:dyDescent="0.35">
      <c r="A322" s="713" t="s">
        <v>768</v>
      </c>
      <c r="B322" s="714">
        <v>44681</v>
      </c>
      <c r="C322" s="713" t="s">
        <v>713</v>
      </c>
      <c r="D322" s="897">
        <v>826</v>
      </c>
    </row>
    <row r="323" spans="1:4" x14ac:dyDescent="0.35">
      <c r="A323" s="713" t="s">
        <v>768</v>
      </c>
      <c r="B323" s="714">
        <v>44681</v>
      </c>
      <c r="C323" s="713" t="s">
        <v>707</v>
      </c>
      <c r="D323" s="897">
        <v>169204</v>
      </c>
    </row>
    <row r="324" spans="1:4" x14ac:dyDescent="0.35">
      <c r="A324" s="325" t="s">
        <v>769</v>
      </c>
      <c r="B324" s="708"/>
      <c r="C324" s="325"/>
      <c r="D324" s="896">
        <f>SUM(D319:D323)</f>
        <v>276409.34999999998</v>
      </c>
    </row>
    <row r="325" spans="1:4" x14ac:dyDescent="0.35">
      <c r="A325" s="325" t="s">
        <v>665</v>
      </c>
      <c r="B325" s="325"/>
      <c r="C325" s="325"/>
      <c r="D325" s="896">
        <f>SUM(D2:D324)/2</f>
        <v>80137303.539999917</v>
      </c>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9A9A-08CB-4F8B-A3F4-00A1A64EED16}">
  <dimension ref="A1:F328"/>
  <sheetViews>
    <sheetView topLeftCell="A319" workbookViewId="0">
      <selection activeCell="D194" sqref="D194"/>
    </sheetView>
  </sheetViews>
  <sheetFormatPr defaultRowHeight="14.5" x14ac:dyDescent="0.35"/>
  <cols>
    <col min="1" max="1" width="56.81640625" style="894" bestFit="1" customWidth="1"/>
    <col min="2" max="2" width="9.453125" style="894" bestFit="1" customWidth="1"/>
    <col min="3" max="3" width="8.90625" style="894"/>
    <col min="4" max="4" width="18" style="916" customWidth="1"/>
    <col min="6" max="6" width="13.453125" bestFit="1" customWidth="1"/>
  </cols>
  <sheetData>
    <row r="1" spans="1:4" x14ac:dyDescent="0.35">
      <c r="A1" s="683" t="s">
        <v>1</v>
      </c>
      <c r="B1" s="683" t="s">
        <v>704</v>
      </c>
      <c r="C1" s="683" t="s">
        <v>705</v>
      </c>
      <c r="D1" s="917" t="s">
        <v>588</v>
      </c>
    </row>
    <row r="2" spans="1:4" x14ac:dyDescent="0.35">
      <c r="A2" s="713" t="s">
        <v>706</v>
      </c>
      <c r="B2" s="714">
        <v>44712</v>
      </c>
      <c r="C2" s="713" t="s">
        <v>707</v>
      </c>
      <c r="D2" s="919">
        <v>8553</v>
      </c>
    </row>
    <row r="3" spans="1:4" s="894" customFormat="1" x14ac:dyDescent="0.35">
      <c r="A3" s="713" t="s">
        <v>769</v>
      </c>
      <c r="B3" s="714"/>
      <c r="C3" s="713"/>
      <c r="D3" s="919">
        <f>SUM(D2)</f>
        <v>8553</v>
      </c>
    </row>
    <row r="4" spans="1:4" s="894" customFormat="1" x14ac:dyDescent="0.35">
      <c r="A4" s="325"/>
      <c r="B4" s="708"/>
      <c r="C4" s="325"/>
      <c r="D4" s="918"/>
    </row>
    <row r="5" spans="1:4" x14ac:dyDescent="0.35">
      <c r="A5" s="713" t="s">
        <v>708</v>
      </c>
      <c r="B5" s="714">
        <v>44712</v>
      </c>
      <c r="C5" s="713" t="s">
        <v>710</v>
      </c>
      <c r="D5" s="919">
        <v>21273.35</v>
      </c>
    </row>
    <row r="6" spans="1:4" s="894" customFormat="1" x14ac:dyDescent="0.35">
      <c r="A6" s="713" t="s">
        <v>769</v>
      </c>
      <c r="B6" s="714"/>
      <c r="C6" s="713"/>
      <c r="D6" s="919">
        <f>SUM(D5)</f>
        <v>21273.35</v>
      </c>
    </row>
    <row r="7" spans="1:4" s="894" customFormat="1" x14ac:dyDescent="0.35">
      <c r="A7" s="325"/>
      <c r="B7" s="708"/>
      <c r="C7" s="325"/>
      <c r="D7" s="918"/>
    </row>
    <row r="8" spans="1:4" x14ac:dyDescent="0.35">
      <c r="A8" s="713" t="s">
        <v>711</v>
      </c>
      <c r="B8" s="714">
        <v>44712</v>
      </c>
      <c r="C8" s="713" t="s">
        <v>718</v>
      </c>
      <c r="D8" s="919">
        <v>-48388</v>
      </c>
    </row>
    <row r="9" spans="1:4" x14ac:dyDescent="0.35">
      <c r="A9" s="713" t="s">
        <v>711</v>
      </c>
      <c r="B9" s="714">
        <v>44712</v>
      </c>
      <c r="C9" s="713" t="s">
        <v>714</v>
      </c>
      <c r="D9" s="919">
        <v>2370439.2000000002</v>
      </c>
    </row>
    <row r="10" spans="1:4" x14ac:dyDescent="0.35">
      <c r="A10" s="713" t="s">
        <v>711</v>
      </c>
      <c r="B10" s="714">
        <v>44712</v>
      </c>
      <c r="C10" s="713" t="s">
        <v>709</v>
      </c>
      <c r="D10" s="919">
        <v>47060.2</v>
      </c>
    </row>
    <row r="11" spans="1:4" x14ac:dyDescent="0.35">
      <c r="A11" s="713" t="s">
        <v>711</v>
      </c>
      <c r="B11" s="714">
        <v>44712</v>
      </c>
      <c r="C11" s="713" t="s">
        <v>712</v>
      </c>
      <c r="D11" s="919">
        <v>5188</v>
      </c>
    </row>
    <row r="12" spans="1:4" x14ac:dyDescent="0.35">
      <c r="A12" s="713" t="s">
        <v>711</v>
      </c>
      <c r="B12" s="714">
        <v>44712</v>
      </c>
      <c r="C12" s="713" t="s">
        <v>713</v>
      </c>
      <c r="D12" s="919">
        <v>73059.8</v>
      </c>
    </row>
    <row r="13" spans="1:4" x14ac:dyDescent="0.35">
      <c r="A13" s="713" t="s">
        <v>711</v>
      </c>
      <c r="B13" s="714">
        <v>44712</v>
      </c>
      <c r="C13" s="713" t="s">
        <v>707</v>
      </c>
      <c r="D13" s="919">
        <v>6808710</v>
      </c>
    </row>
    <row r="14" spans="1:4" x14ac:dyDescent="0.35">
      <c r="A14" s="713" t="s">
        <v>711</v>
      </c>
      <c r="B14" s="714">
        <v>44712</v>
      </c>
      <c r="C14" s="713" t="s">
        <v>710</v>
      </c>
      <c r="D14" s="919">
        <v>25367.23</v>
      </c>
    </row>
    <row r="15" spans="1:4" s="894" customFormat="1" x14ac:dyDescent="0.35">
      <c r="A15" s="713" t="s">
        <v>769</v>
      </c>
      <c r="B15" s="714"/>
      <c r="C15" s="713"/>
      <c r="D15" s="919">
        <f>SUM(D8:D14)</f>
        <v>9281436.4299999997</v>
      </c>
    </row>
    <row r="16" spans="1:4" s="894" customFormat="1" x14ac:dyDescent="0.35">
      <c r="A16" s="325"/>
      <c r="B16" s="708"/>
      <c r="C16" s="325"/>
      <c r="D16" s="918"/>
    </row>
    <row r="17" spans="1:4" x14ac:dyDescent="0.35">
      <c r="A17" s="713" t="s">
        <v>715</v>
      </c>
      <c r="B17" s="714">
        <v>44712</v>
      </c>
      <c r="C17" s="713" t="s">
        <v>713</v>
      </c>
      <c r="D17" s="919">
        <v>1404</v>
      </c>
    </row>
    <row r="18" spans="1:4" x14ac:dyDescent="0.35">
      <c r="A18" s="713" t="s">
        <v>715</v>
      </c>
      <c r="B18" s="714">
        <v>44712</v>
      </c>
      <c r="C18" s="713" t="s">
        <v>709</v>
      </c>
      <c r="D18" s="919">
        <v>246711.12</v>
      </c>
    </row>
    <row r="19" spans="1:4" x14ac:dyDescent="0.35">
      <c r="A19" s="713" t="s">
        <v>715</v>
      </c>
      <c r="B19" s="714">
        <v>44712</v>
      </c>
      <c r="C19" s="713" t="s">
        <v>707</v>
      </c>
      <c r="D19" s="919">
        <v>556937</v>
      </c>
    </row>
    <row r="20" spans="1:4" x14ac:dyDescent="0.35">
      <c r="A20" s="713" t="s">
        <v>715</v>
      </c>
      <c r="B20" s="714">
        <v>44712</v>
      </c>
      <c r="C20" s="713" t="s">
        <v>714</v>
      </c>
      <c r="D20" s="919">
        <v>157712.79999999999</v>
      </c>
    </row>
    <row r="21" spans="1:4" x14ac:dyDescent="0.35">
      <c r="A21" s="713" t="s">
        <v>715</v>
      </c>
      <c r="B21" s="714">
        <v>44712</v>
      </c>
      <c r="C21" s="713" t="s">
        <v>712</v>
      </c>
      <c r="D21" s="919">
        <v>99</v>
      </c>
    </row>
    <row r="22" spans="1:4" s="894" customFormat="1" x14ac:dyDescent="0.35">
      <c r="A22" s="713" t="s">
        <v>769</v>
      </c>
      <c r="B22" s="714"/>
      <c r="C22" s="713"/>
      <c r="D22" s="919">
        <f>SUM(D17:D21)</f>
        <v>962863.91999999993</v>
      </c>
    </row>
    <row r="23" spans="1:4" s="894" customFormat="1" x14ac:dyDescent="0.35">
      <c r="A23" s="325"/>
      <c r="B23" s="708"/>
      <c r="C23" s="325"/>
      <c r="D23" s="918"/>
    </row>
    <row r="24" spans="1:4" x14ac:dyDescent="0.35">
      <c r="A24" s="713" t="s">
        <v>716</v>
      </c>
      <c r="B24" s="714">
        <v>44712</v>
      </c>
      <c r="C24" s="713" t="s">
        <v>712</v>
      </c>
      <c r="D24" s="919">
        <v>140</v>
      </c>
    </row>
    <row r="25" spans="1:4" x14ac:dyDescent="0.35">
      <c r="A25" s="713" t="s">
        <v>716</v>
      </c>
      <c r="B25" s="714">
        <v>44712</v>
      </c>
      <c r="C25" s="713" t="s">
        <v>713</v>
      </c>
      <c r="D25" s="919">
        <v>2743</v>
      </c>
    </row>
    <row r="26" spans="1:4" x14ac:dyDescent="0.35">
      <c r="A26" s="713" t="s">
        <v>716</v>
      </c>
      <c r="B26" s="714">
        <v>44712</v>
      </c>
      <c r="C26" s="713" t="s">
        <v>709</v>
      </c>
      <c r="D26" s="919">
        <v>50508.57</v>
      </c>
    </row>
    <row r="27" spans="1:4" x14ac:dyDescent="0.35">
      <c r="A27" s="713" t="s">
        <v>716</v>
      </c>
      <c r="B27" s="714">
        <v>44712</v>
      </c>
      <c r="C27" s="713" t="s">
        <v>707</v>
      </c>
      <c r="D27" s="919">
        <v>547364</v>
      </c>
    </row>
    <row r="28" spans="1:4" x14ac:dyDescent="0.35">
      <c r="A28" s="713" t="s">
        <v>716</v>
      </c>
      <c r="B28" s="714">
        <v>44712</v>
      </c>
      <c r="C28" s="713" t="s">
        <v>714</v>
      </c>
      <c r="D28" s="919">
        <v>193624.2</v>
      </c>
    </row>
    <row r="29" spans="1:4" s="894" customFormat="1" x14ac:dyDescent="0.35">
      <c r="A29" s="713" t="s">
        <v>769</v>
      </c>
      <c r="B29" s="714"/>
      <c r="C29" s="713"/>
      <c r="D29" s="919">
        <f>SUM(D24:D28)</f>
        <v>794379.77</v>
      </c>
    </row>
    <row r="30" spans="1:4" s="894" customFormat="1" x14ac:dyDescent="0.35">
      <c r="A30" s="325"/>
      <c r="B30" s="708"/>
      <c r="C30" s="325"/>
      <c r="D30" s="918"/>
    </row>
    <row r="31" spans="1:4" x14ac:dyDescent="0.35">
      <c r="A31" s="713" t="s">
        <v>717</v>
      </c>
      <c r="B31" s="714">
        <v>44712</v>
      </c>
      <c r="C31" s="713" t="s">
        <v>709</v>
      </c>
      <c r="D31" s="919">
        <v>501158.62</v>
      </c>
    </row>
    <row r="32" spans="1:4" x14ac:dyDescent="0.35">
      <c r="A32" s="713" t="s">
        <v>717</v>
      </c>
      <c r="B32" s="714">
        <v>44712</v>
      </c>
      <c r="C32" s="713" t="s">
        <v>719</v>
      </c>
      <c r="D32" s="919">
        <v>10594.57</v>
      </c>
    </row>
    <row r="33" spans="1:4" x14ac:dyDescent="0.35">
      <c r="A33" s="713" t="s">
        <v>717</v>
      </c>
      <c r="B33" s="714">
        <v>44712</v>
      </c>
      <c r="C33" s="713" t="s">
        <v>707</v>
      </c>
      <c r="D33" s="919">
        <v>5974004</v>
      </c>
    </row>
    <row r="34" spans="1:4" x14ac:dyDescent="0.35">
      <c r="A34" s="713" t="s">
        <v>717</v>
      </c>
      <c r="B34" s="714">
        <v>44712</v>
      </c>
      <c r="C34" s="713" t="s">
        <v>713</v>
      </c>
      <c r="D34" s="919">
        <v>48948.2</v>
      </c>
    </row>
    <row r="35" spans="1:4" x14ac:dyDescent="0.35">
      <c r="A35" s="713" t="s">
        <v>717</v>
      </c>
      <c r="B35" s="714">
        <v>44712</v>
      </c>
      <c r="C35" s="713" t="s">
        <v>714</v>
      </c>
      <c r="D35" s="919">
        <v>1494892.5</v>
      </c>
    </row>
    <row r="36" spans="1:4" x14ac:dyDescent="0.35">
      <c r="A36" s="713" t="s">
        <v>717</v>
      </c>
      <c r="B36" s="714">
        <v>44712</v>
      </c>
      <c r="C36" s="713" t="s">
        <v>710</v>
      </c>
      <c r="D36" s="919">
        <v>87530.64</v>
      </c>
    </row>
    <row r="37" spans="1:4" x14ac:dyDescent="0.35">
      <c r="A37" s="713" t="s">
        <v>717</v>
      </c>
      <c r="B37" s="714">
        <v>44712</v>
      </c>
      <c r="C37" s="713" t="s">
        <v>712</v>
      </c>
      <c r="D37" s="919">
        <v>60727</v>
      </c>
    </row>
    <row r="38" spans="1:4" s="894" customFormat="1" x14ac:dyDescent="0.35">
      <c r="A38" s="713" t="s">
        <v>769</v>
      </c>
      <c r="B38" s="714"/>
      <c r="C38" s="713"/>
      <c r="D38" s="919">
        <f>SUM(D31:D37)</f>
        <v>8177855.5300000003</v>
      </c>
    </row>
    <row r="39" spans="1:4" s="894" customFormat="1" x14ac:dyDescent="0.35">
      <c r="A39" s="325"/>
      <c r="B39" s="708"/>
      <c r="C39" s="325"/>
      <c r="D39" s="918"/>
    </row>
    <row r="40" spans="1:4" x14ac:dyDescent="0.35">
      <c r="A40" s="713" t="s">
        <v>720</v>
      </c>
      <c r="B40" s="714">
        <v>44712</v>
      </c>
      <c r="C40" s="713" t="s">
        <v>712</v>
      </c>
      <c r="D40" s="919">
        <v>130</v>
      </c>
    </row>
    <row r="41" spans="1:4" x14ac:dyDescent="0.35">
      <c r="A41" s="713" t="s">
        <v>720</v>
      </c>
      <c r="B41" s="714">
        <v>44712</v>
      </c>
      <c r="C41" s="713" t="s">
        <v>707</v>
      </c>
      <c r="D41" s="919">
        <v>169945</v>
      </c>
    </row>
    <row r="42" spans="1:4" x14ac:dyDescent="0.35">
      <c r="A42" s="713" t="s">
        <v>720</v>
      </c>
      <c r="B42" s="714">
        <v>44712</v>
      </c>
      <c r="C42" s="713" t="s">
        <v>709</v>
      </c>
      <c r="D42" s="919">
        <v>300051.65999999997</v>
      </c>
    </row>
    <row r="43" spans="1:4" x14ac:dyDescent="0.35">
      <c r="A43" s="713" t="s">
        <v>720</v>
      </c>
      <c r="B43" s="714">
        <v>44712</v>
      </c>
      <c r="C43" s="713" t="s">
        <v>713</v>
      </c>
      <c r="D43" s="919">
        <v>3022.5</v>
      </c>
    </row>
    <row r="44" spans="1:4" x14ac:dyDescent="0.35">
      <c r="A44" s="713" t="s">
        <v>720</v>
      </c>
      <c r="B44" s="714">
        <v>44712</v>
      </c>
      <c r="C44" s="713" t="s">
        <v>714</v>
      </c>
      <c r="D44" s="919">
        <v>74597.8</v>
      </c>
    </row>
    <row r="45" spans="1:4" s="894" customFormat="1" x14ac:dyDescent="0.35">
      <c r="A45" s="713" t="s">
        <v>769</v>
      </c>
      <c r="B45" s="714"/>
      <c r="C45" s="713"/>
      <c r="D45" s="919">
        <f>SUM(D40:D44)</f>
        <v>547746.96</v>
      </c>
    </row>
    <row r="46" spans="1:4" s="894" customFormat="1" x14ac:dyDescent="0.35">
      <c r="A46" s="325"/>
      <c r="B46" s="708"/>
      <c r="C46" s="325"/>
      <c r="D46" s="918"/>
    </row>
    <row r="47" spans="1:4" x14ac:dyDescent="0.35">
      <c r="A47" s="325" t="s">
        <v>721</v>
      </c>
      <c r="B47" s="708">
        <v>44712</v>
      </c>
      <c r="C47" s="325" t="s">
        <v>709</v>
      </c>
      <c r="D47" s="918">
        <v>0</v>
      </c>
    </row>
    <row r="48" spans="1:4" x14ac:dyDescent="0.35">
      <c r="A48" s="325" t="s">
        <v>721</v>
      </c>
      <c r="B48" s="708">
        <v>44712</v>
      </c>
      <c r="C48" s="325" t="s">
        <v>713</v>
      </c>
      <c r="D48" s="918">
        <v>7681.5</v>
      </c>
    </row>
    <row r="49" spans="1:4" x14ac:dyDescent="0.35">
      <c r="A49" s="325" t="s">
        <v>721</v>
      </c>
      <c r="B49" s="708">
        <v>44712</v>
      </c>
      <c r="C49" s="325" t="s">
        <v>714</v>
      </c>
      <c r="D49" s="918">
        <v>341435.5</v>
      </c>
    </row>
    <row r="50" spans="1:4" x14ac:dyDescent="0.35">
      <c r="A50" s="325" t="s">
        <v>721</v>
      </c>
      <c r="B50" s="708">
        <v>44712</v>
      </c>
      <c r="C50" s="325" t="s">
        <v>712</v>
      </c>
      <c r="D50" s="918">
        <v>4853</v>
      </c>
    </row>
    <row r="51" spans="1:4" x14ac:dyDescent="0.35">
      <c r="A51" s="325" t="s">
        <v>721</v>
      </c>
      <c r="B51" s="708">
        <v>44712</v>
      </c>
      <c r="C51" s="325" t="s">
        <v>718</v>
      </c>
      <c r="D51" s="918">
        <v>0</v>
      </c>
    </row>
    <row r="52" spans="1:4" x14ac:dyDescent="0.35">
      <c r="A52" s="325" t="s">
        <v>721</v>
      </c>
      <c r="B52" s="708">
        <v>44712</v>
      </c>
      <c r="C52" s="325" t="s">
        <v>707</v>
      </c>
      <c r="D52" s="918">
        <v>0</v>
      </c>
    </row>
    <row r="53" spans="1:4" s="894" customFormat="1" x14ac:dyDescent="0.35">
      <c r="A53" s="325" t="s">
        <v>769</v>
      </c>
      <c r="B53" s="708"/>
      <c r="C53" s="325"/>
      <c r="D53" s="918">
        <f>SUM(D47:D52)</f>
        <v>353970</v>
      </c>
    </row>
    <row r="54" spans="1:4" s="894" customFormat="1" x14ac:dyDescent="0.35">
      <c r="A54" s="325"/>
      <c r="B54" s="708"/>
      <c r="C54" s="325"/>
      <c r="D54" s="918"/>
    </row>
    <row r="55" spans="1:4" x14ac:dyDescent="0.35">
      <c r="A55" s="713" t="s">
        <v>723</v>
      </c>
      <c r="B55" s="714">
        <v>44712</v>
      </c>
      <c r="C55" s="713" t="s">
        <v>710</v>
      </c>
      <c r="D55" s="919">
        <v>15250.25</v>
      </c>
    </row>
    <row r="56" spans="1:4" x14ac:dyDescent="0.35">
      <c r="A56" s="713" t="s">
        <v>723</v>
      </c>
      <c r="B56" s="714">
        <v>44712</v>
      </c>
      <c r="C56" s="713" t="s">
        <v>707</v>
      </c>
      <c r="D56" s="919">
        <v>15395377.92</v>
      </c>
    </row>
    <row r="57" spans="1:4" x14ac:dyDescent="0.35">
      <c r="A57" s="713" t="s">
        <v>723</v>
      </c>
      <c r="B57" s="714">
        <v>44712</v>
      </c>
      <c r="C57" s="713" t="s">
        <v>719</v>
      </c>
      <c r="D57" s="919">
        <v>4176.08</v>
      </c>
    </row>
    <row r="58" spans="1:4" x14ac:dyDescent="0.35">
      <c r="A58" s="713" t="s">
        <v>723</v>
      </c>
      <c r="B58" s="714">
        <v>44712</v>
      </c>
      <c r="C58" s="713" t="s">
        <v>713</v>
      </c>
      <c r="D58" s="919">
        <v>76028.7</v>
      </c>
    </row>
    <row r="59" spans="1:4" x14ac:dyDescent="0.35">
      <c r="A59" s="713" t="s">
        <v>723</v>
      </c>
      <c r="B59" s="714">
        <v>44712</v>
      </c>
      <c r="C59" s="713" t="s">
        <v>709</v>
      </c>
      <c r="D59" s="919">
        <v>1451873.35</v>
      </c>
    </row>
    <row r="60" spans="1:4" x14ac:dyDescent="0.35">
      <c r="A60" s="713" t="s">
        <v>723</v>
      </c>
      <c r="B60" s="714">
        <v>44712</v>
      </c>
      <c r="C60" s="713" t="s">
        <v>724</v>
      </c>
      <c r="D60" s="919">
        <v>34350.86</v>
      </c>
    </row>
    <row r="61" spans="1:4" x14ac:dyDescent="0.35">
      <c r="A61" s="713" t="s">
        <v>723</v>
      </c>
      <c r="B61" s="714">
        <v>44712</v>
      </c>
      <c r="C61" s="713" t="s">
        <v>712</v>
      </c>
      <c r="D61" s="919">
        <v>8912.2999999999993</v>
      </c>
    </row>
    <row r="62" spans="1:4" x14ac:dyDescent="0.35">
      <c r="A62" s="713" t="s">
        <v>723</v>
      </c>
      <c r="B62" s="714">
        <v>44712</v>
      </c>
      <c r="C62" s="713" t="s">
        <v>714</v>
      </c>
      <c r="D62" s="919">
        <v>3935641</v>
      </c>
    </row>
    <row r="63" spans="1:4" s="894" customFormat="1" x14ac:dyDescent="0.35">
      <c r="A63" s="713" t="s">
        <v>769</v>
      </c>
      <c r="B63" s="714"/>
      <c r="C63" s="713"/>
      <c r="D63" s="919">
        <f>SUM(D55:D62)</f>
        <v>20921610.460000001</v>
      </c>
    </row>
    <row r="64" spans="1:4" s="894" customFormat="1" x14ac:dyDescent="0.35">
      <c r="A64" s="325"/>
      <c r="B64" s="708"/>
      <c r="C64" s="325"/>
      <c r="D64" s="918"/>
    </row>
    <row r="65" spans="1:4" x14ac:dyDescent="0.35">
      <c r="A65" s="713" t="s">
        <v>725</v>
      </c>
      <c r="B65" s="714">
        <v>44712</v>
      </c>
      <c r="C65" s="713" t="s">
        <v>709</v>
      </c>
      <c r="D65" s="919">
        <v>1244444.78</v>
      </c>
    </row>
    <row r="66" spans="1:4" x14ac:dyDescent="0.35">
      <c r="A66" s="713" t="s">
        <v>725</v>
      </c>
      <c r="B66" s="714">
        <v>44712</v>
      </c>
      <c r="C66" s="713" t="s">
        <v>713</v>
      </c>
      <c r="D66" s="919">
        <v>5929.5</v>
      </c>
    </row>
    <row r="67" spans="1:4" x14ac:dyDescent="0.35">
      <c r="A67" s="713" t="s">
        <v>725</v>
      </c>
      <c r="B67" s="714">
        <v>44712</v>
      </c>
      <c r="C67" s="713" t="s">
        <v>712</v>
      </c>
      <c r="D67" s="919">
        <v>695.5</v>
      </c>
    </row>
    <row r="68" spans="1:4" x14ac:dyDescent="0.35">
      <c r="A68" s="713" t="s">
        <v>725</v>
      </c>
      <c r="B68" s="714">
        <v>44712</v>
      </c>
      <c r="C68" s="713" t="s">
        <v>707</v>
      </c>
      <c r="D68" s="919">
        <v>835874</v>
      </c>
    </row>
    <row r="69" spans="1:4" x14ac:dyDescent="0.35">
      <c r="A69" s="713" t="s">
        <v>725</v>
      </c>
      <c r="B69" s="714">
        <v>44712</v>
      </c>
      <c r="C69" s="713" t="s">
        <v>714</v>
      </c>
      <c r="D69" s="919">
        <v>383215.8</v>
      </c>
    </row>
    <row r="70" spans="1:4" s="894" customFormat="1" x14ac:dyDescent="0.35">
      <c r="A70" s="713" t="s">
        <v>769</v>
      </c>
      <c r="B70" s="714"/>
      <c r="C70" s="713"/>
      <c r="D70" s="919">
        <f>SUM(D65:D69)</f>
        <v>2470159.58</v>
      </c>
    </row>
    <row r="71" spans="1:4" s="894" customFormat="1" x14ac:dyDescent="0.35">
      <c r="A71" s="325"/>
      <c r="B71" s="708"/>
      <c r="C71" s="325"/>
      <c r="D71" s="918"/>
    </row>
    <row r="72" spans="1:4" x14ac:dyDescent="0.35">
      <c r="A72" s="713" t="s">
        <v>726</v>
      </c>
      <c r="B72" s="714">
        <v>44712</v>
      </c>
      <c r="C72" s="713" t="s">
        <v>707</v>
      </c>
      <c r="D72" s="919">
        <v>1890112</v>
      </c>
    </row>
    <row r="73" spans="1:4" x14ac:dyDescent="0.35">
      <c r="A73" s="713" t="s">
        <v>726</v>
      </c>
      <c r="B73" s="714">
        <v>44712</v>
      </c>
      <c r="C73" s="713" t="s">
        <v>709</v>
      </c>
      <c r="D73" s="919">
        <v>1210879.51</v>
      </c>
    </row>
    <row r="74" spans="1:4" x14ac:dyDescent="0.35">
      <c r="A74" s="713" t="s">
        <v>726</v>
      </c>
      <c r="B74" s="714">
        <v>44712</v>
      </c>
      <c r="C74" s="713" t="s">
        <v>719</v>
      </c>
      <c r="D74" s="919">
        <v>23165.25</v>
      </c>
    </row>
    <row r="75" spans="1:4" x14ac:dyDescent="0.35">
      <c r="A75" s="713" t="s">
        <v>726</v>
      </c>
      <c r="B75" s="714">
        <v>44712</v>
      </c>
      <c r="C75" s="713" t="s">
        <v>713</v>
      </c>
      <c r="D75" s="919">
        <v>17777.2</v>
      </c>
    </row>
    <row r="76" spans="1:4" x14ac:dyDescent="0.35">
      <c r="A76" s="713" t="s">
        <v>726</v>
      </c>
      <c r="B76" s="714">
        <v>44712</v>
      </c>
      <c r="C76" s="713" t="s">
        <v>714</v>
      </c>
      <c r="D76" s="919">
        <v>856934.6</v>
      </c>
    </row>
    <row r="77" spans="1:4" x14ac:dyDescent="0.35">
      <c r="A77" s="713" t="s">
        <v>726</v>
      </c>
      <c r="B77" s="714">
        <v>44712</v>
      </c>
      <c r="C77" s="713" t="s">
        <v>712</v>
      </c>
      <c r="D77" s="919">
        <v>2651.3</v>
      </c>
    </row>
    <row r="78" spans="1:4" x14ac:dyDescent="0.35">
      <c r="A78" s="713" t="s">
        <v>726</v>
      </c>
      <c r="B78" s="714">
        <v>44712</v>
      </c>
      <c r="C78" s="713" t="s">
        <v>710</v>
      </c>
      <c r="D78" s="919">
        <v>100392.2</v>
      </c>
    </row>
    <row r="79" spans="1:4" s="894" customFormat="1" x14ac:dyDescent="0.35">
      <c r="A79" s="713" t="s">
        <v>769</v>
      </c>
      <c r="B79" s="714"/>
      <c r="C79" s="713"/>
      <c r="D79" s="919">
        <f>SUM(D72:D78)</f>
        <v>4101912.06</v>
      </c>
    </row>
    <row r="80" spans="1:4" s="894" customFormat="1" x14ac:dyDescent="0.35">
      <c r="A80" s="325"/>
      <c r="B80" s="708"/>
      <c r="C80" s="325"/>
      <c r="D80" s="918"/>
    </row>
    <row r="81" spans="1:4" x14ac:dyDescent="0.35">
      <c r="A81" s="713" t="s">
        <v>45</v>
      </c>
      <c r="B81" s="714">
        <v>44712</v>
      </c>
      <c r="C81" s="713" t="s">
        <v>714</v>
      </c>
      <c r="D81" s="919">
        <v>19123.7</v>
      </c>
    </row>
    <row r="82" spans="1:4" x14ac:dyDescent="0.35">
      <c r="A82" s="713" t="s">
        <v>45</v>
      </c>
      <c r="B82" s="714">
        <v>44712</v>
      </c>
      <c r="C82" s="713" t="s">
        <v>713</v>
      </c>
      <c r="D82" s="919">
        <v>285.5</v>
      </c>
    </row>
    <row r="83" spans="1:4" x14ac:dyDescent="0.35">
      <c r="A83" s="713" t="s">
        <v>45</v>
      </c>
      <c r="B83" s="714">
        <v>44712</v>
      </c>
      <c r="C83" s="713" t="s">
        <v>709</v>
      </c>
      <c r="D83" s="919">
        <v>66943.490000000005</v>
      </c>
    </row>
    <row r="84" spans="1:4" s="894" customFormat="1" x14ac:dyDescent="0.35">
      <c r="A84" s="713" t="s">
        <v>769</v>
      </c>
      <c r="B84" s="714"/>
      <c r="C84" s="713"/>
      <c r="D84" s="919">
        <f>SUM(D81:D83)</f>
        <v>86352.69</v>
      </c>
    </row>
    <row r="85" spans="1:4" s="894" customFormat="1" x14ac:dyDescent="0.35">
      <c r="A85" s="325"/>
      <c r="B85" s="708"/>
      <c r="C85" s="325"/>
      <c r="D85" s="918"/>
    </row>
    <row r="86" spans="1:4" x14ac:dyDescent="0.35">
      <c r="A86" s="713" t="s">
        <v>727</v>
      </c>
      <c r="B86" s="714">
        <v>44712</v>
      </c>
      <c r="C86" s="713" t="s">
        <v>713</v>
      </c>
      <c r="D86" s="919">
        <v>61</v>
      </c>
    </row>
    <row r="87" spans="1:4" x14ac:dyDescent="0.35">
      <c r="A87" s="713" t="s">
        <v>727</v>
      </c>
      <c r="B87" s="714">
        <v>44712</v>
      </c>
      <c r="C87" s="713" t="s">
        <v>712</v>
      </c>
      <c r="D87" s="919">
        <v>135</v>
      </c>
    </row>
    <row r="88" spans="1:4" x14ac:dyDescent="0.35">
      <c r="A88" s="713" t="s">
        <v>727</v>
      </c>
      <c r="B88" s="714">
        <v>44712</v>
      </c>
      <c r="C88" s="713" t="s">
        <v>707</v>
      </c>
      <c r="D88" s="919">
        <v>45993</v>
      </c>
    </row>
    <row r="89" spans="1:4" x14ac:dyDescent="0.35">
      <c r="A89" s="713" t="s">
        <v>727</v>
      </c>
      <c r="B89" s="714">
        <v>44712</v>
      </c>
      <c r="C89" s="713" t="s">
        <v>714</v>
      </c>
      <c r="D89" s="919">
        <v>7281.2</v>
      </c>
    </row>
    <row r="90" spans="1:4" s="894" customFormat="1" x14ac:dyDescent="0.35">
      <c r="A90" s="713" t="s">
        <v>769</v>
      </c>
      <c r="B90" s="714"/>
      <c r="C90" s="713"/>
      <c r="D90" s="919">
        <f>SUM(D86:D89)</f>
        <v>53470.2</v>
      </c>
    </row>
    <row r="91" spans="1:4" s="894" customFormat="1" x14ac:dyDescent="0.35">
      <c r="A91" s="325"/>
      <c r="B91" s="708"/>
      <c r="C91" s="325"/>
      <c r="D91" s="918"/>
    </row>
    <row r="92" spans="1:4" x14ac:dyDescent="0.35">
      <c r="A92" s="713" t="s">
        <v>728</v>
      </c>
      <c r="B92" s="714">
        <v>44712</v>
      </c>
      <c r="C92" s="713" t="s">
        <v>707</v>
      </c>
      <c r="D92" s="919">
        <v>712150</v>
      </c>
    </row>
    <row r="93" spans="1:4" x14ac:dyDescent="0.35">
      <c r="A93" s="713" t="s">
        <v>728</v>
      </c>
      <c r="B93" s="714">
        <v>44712</v>
      </c>
      <c r="C93" s="713" t="s">
        <v>709</v>
      </c>
      <c r="D93" s="919">
        <v>275993.71999999997</v>
      </c>
    </row>
    <row r="94" spans="1:4" x14ac:dyDescent="0.35">
      <c r="A94" s="713" t="s">
        <v>728</v>
      </c>
      <c r="B94" s="714">
        <v>44712</v>
      </c>
      <c r="C94" s="713" t="s">
        <v>719</v>
      </c>
      <c r="D94" s="919">
        <v>7836.94</v>
      </c>
    </row>
    <row r="95" spans="1:4" x14ac:dyDescent="0.35">
      <c r="A95" s="713" t="s">
        <v>728</v>
      </c>
      <c r="B95" s="714">
        <v>44712</v>
      </c>
      <c r="C95" s="713" t="s">
        <v>713</v>
      </c>
      <c r="D95" s="919">
        <v>4314.8999999999996</v>
      </c>
    </row>
    <row r="96" spans="1:4" x14ac:dyDescent="0.35">
      <c r="A96" s="713" t="s">
        <v>728</v>
      </c>
      <c r="B96" s="714">
        <v>44712</v>
      </c>
      <c r="C96" s="713" t="s">
        <v>712</v>
      </c>
      <c r="D96" s="919">
        <v>698</v>
      </c>
    </row>
    <row r="97" spans="1:4" x14ac:dyDescent="0.35">
      <c r="A97" s="713" t="s">
        <v>728</v>
      </c>
      <c r="B97" s="714">
        <v>44712</v>
      </c>
      <c r="C97" s="713" t="s">
        <v>714</v>
      </c>
      <c r="D97" s="919">
        <v>295508.09999999998</v>
      </c>
    </row>
    <row r="98" spans="1:4" s="894" customFormat="1" x14ac:dyDescent="0.35">
      <c r="A98" s="713" t="s">
        <v>769</v>
      </c>
      <c r="B98" s="714"/>
      <c r="C98" s="713"/>
      <c r="D98" s="919">
        <f>SUM(D92:D97)</f>
        <v>1296501.6599999999</v>
      </c>
    </row>
    <row r="99" spans="1:4" s="894" customFormat="1" x14ac:dyDescent="0.35">
      <c r="A99" s="325"/>
      <c r="B99" s="708"/>
      <c r="C99" s="325"/>
      <c r="D99" s="918"/>
    </row>
    <row r="100" spans="1:4" x14ac:dyDescent="0.35">
      <c r="A100" s="713" t="s">
        <v>729</v>
      </c>
      <c r="B100" s="714">
        <v>44712</v>
      </c>
      <c r="C100" s="713" t="s">
        <v>713</v>
      </c>
      <c r="D100" s="919">
        <v>1056.5</v>
      </c>
    </row>
    <row r="101" spans="1:4" x14ac:dyDescent="0.35">
      <c r="A101" s="713" t="s">
        <v>729</v>
      </c>
      <c r="B101" s="714">
        <v>44712</v>
      </c>
      <c r="C101" s="713" t="s">
        <v>709</v>
      </c>
      <c r="D101" s="919">
        <v>8329.8799999999992</v>
      </c>
    </row>
    <row r="102" spans="1:4" x14ac:dyDescent="0.35">
      <c r="A102" s="713" t="s">
        <v>729</v>
      </c>
      <c r="B102" s="714">
        <v>44712</v>
      </c>
      <c r="C102" s="713" t="s">
        <v>707</v>
      </c>
      <c r="D102" s="919">
        <v>301740</v>
      </c>
    </row>
    <row r="103" spans="1:4" x14ac:dyDescent="0.35">
      <c r="A103" s="713" t="s">
        <v>729</v>
      </c>
      <c r="B103" s="714">
        <v>44712</v>
      </c>
      <c r="C103" s="713" t="s">
        <v>714</v>
      </c>
      <c r="D103" s="919">
        <v>76631.3</v>
      </c>
    </row>
    <row r="104" spans="1:4" x14ac:dyDescent="0.35">
      <c r="A104" s="713" t="s">
        <v>729</v>
      </c>
      <c r="B104" s="714">
        <v>44712</v>
      </c>
      <c r="C104" s="713" t="s">
        <v>712</v>
      </c>
      <c r="D104" s="919">
        <v>375</v>
      </c>
    </row>
    <row r="105" spans="1:4" s="894" customFormat="1" x14ac:dyDescent="0.35">
      <c r="A105" s="713" t="s">
        <v>769</v>
      </c>
      <c r="B105" s="714"/>
      <c r="C105" s="713"/>
      <c r="D105" s="919">
        <f>SUM(D100:D104)</f>
        <v>388132.68</v>
      </c>
    </row>
    <row r="106" spans="1:4" s="894" customFormat="1" x14ac:dyDescent="0.35">
      <c r="A106" s="325"/>
      <c r="B106" s="708"/>
      <c r="C106" s="325"/>
      <c r="D106" s="918"/>
    </row>
    <row r="107" spans="1:4" x14ac:dyDescent="0.35">
      <c r="A107" s="713" t="s">
        <v>730</v>
      </c>
      <c r="B107" s="714">
        <v>44712</v>
      </c>
      <c r="C107" s="713" t="s">
        <v>712</v>
      </c>
      <c r="D107" s="919">
        <v>853.5</v>
      </c>
    </row>
    <row r="108" spans="1:4" x14ac:dyDescent="0.35">
      <c r="A108" s="713" t="s">
        <v>730</v>
      </c>
      <c r="B108" s="714">
        <v>44712</v>
      </c>
      <c r="C108" s="713" t="s">
        <v>714</v>
      </c>
      <c r="D108" s="919">
        <v>445099.2</v>
      </c>
    </row>
    <row r="109" spans="1:4" x14ac:dyDescent="0.35">
      <c r="A109" s="713" t="s">
        <v>730</v>
      </c>
      <c r="B109" s="714">
        <v>44712</v>
      </c>
      <c r="C109" s="713" t="s">
        <v>713</v>
      </c>
      <c r="D109" s="919">
        <v>12610.5</v>
      </c>
    </row>
    <row r="110" spans="1:4" x14ac:dyDescent="0.35">
      <c r="A110" s="713" t="s">
        <v>730</v>
      </c>
      <c r="B110" s="714">
        <v>44712</v>
      </c>
      <c r="C110" s="713" t="s">
        <v>709</v>
      </c>
      <c r="D110" s="919">
        <v>728428.38</v>
      </c>
    </row>
    <row r="111" spans="1:4" x14ac:dyDescent="0.35">
      <c r="A111" s="713" t="s">
        <v>730</v>
      </c>
      <c r="B111" s="714">
        <v>44712</v>
      </c>
      <c r="C111" s="713" t="s">
        <v>719</v>
      </c>
      <c r="D111" s="919">
        <v>12498.44</v>
      </c>
    </row>
    <row r="112" spans="1:4" x14ac:dyDescent="0.35">
      <c r="A112" s="713" t="s">
        <v>730</v>
      </c>
      <c r="B112" s="714">
        <v>44712</v>
      </c>
      <c r="C112" s="713" t="s">
        <v>707</v>
      </c>
      <c r="D112" s="919">
        <v>945417</v>
      </c>
    </row>
    <row r="113" spans="1:4" s="894" customFormat="1" x14ac:dyDescent="0.35">
      <c r="A113" s="713" t="s">
        <v>769</v>
      </c>
      <c r="B113" s="714"/>
      <c r="C113" s="713"/>
      <c r="D113" s="919">
        <f>SUM(D107:D112)</f>
        <v>2144907.02</v>
      </c>
    </row>
    <row r="114" spans="1:4" s="894" customFormat="1" x14ac:dyDescent="0.35">
      <c r="A114" s="325"/>
      <c r="B114" s="708"/>
      <c r="C114" s="325"/>
      <c r="D114" s="918"/>
    </row>
    <row r="115" spans="1:4" x14ac:dyDescent="0.35">
      <c r="A115" s="713" t="s">
        <v>731</v>
      </c>
      <c r="B115" s="714">
        <v>44712</v>
      </c>
      <c r="C115" s="713" t="s">
        <v>710</v>
      </c>
      <c r="D115" s="919">
        <v>15533.74</v>
      </c>
    </row>
    <row r="116" spans="1:4" x14ac:dyDescent="0.35">
      <c r="A116" s="713" t="s">
        <v>731</v>
      </c>
      <c r="B116" s="714">
        <v>44712</v>
      </c>
      <c r="C116" s="713" t="s">
        <v>707</v>
      </c>
      <c r="D116" s="919">
        <v>11539101.16</v>
      </c>
    </row>
    <row r="117" spans="1:4" x14ac:dyDescent="0.35">
      <c r="A117" s="713" t="s">
        <v>731</v>
      </c>
      <c r="B117" s="714">
        <v>44712</v>
      </c>
      <c r="C117" s="713" t="s">
        <v>713</v>
      </c>
      <c r="D117" s="919">
        <v>27549.5</v>
      </c>
    </row>
    <row r="118" spans="1:4" x14ac:dyDescent="0.35">
      <c r="A118" s="713" t="s">
        <v>731</v>
      </c>
      <c r="B118" s="714">
        <v>44712</v>
      </c>
      <c r="C118" s="713" t="s">
        <v>719</v>
      </c>
      <c r="D118" s="919">
        <v>12817.77</v>
      </c>
    </row>
    <row r="119" spans="1:4" x14ac:dyDescent="0.35">
      <c r="A119" s="713" t="s">
        <v>731</v>
      </c>
      <c r="B119" s="714">
        <v>44712</v>
      </c>
      <c r="C119" s="713" t="s">
        <v>709</v>
      </c>
      <c r="D119" s="919">
        <v>15510.62</v>
      </c>
    </row>
    <row r="120" spans="1:4" x14ac:dyDescent="0.35">
      <c r="A120" s="713" t="s">
        <v>731</v>
      </c>
      <c r="B120" s="714">
        <v>44712</v>
      </c>
      <c r="C120" s="713" t="s">
        <v>712</v>
      </c>
      <c r="D120" s="919">
        <v>1226.8</v>
      </c>
    </row>
    <row r="121" spans="1:4" x14ac:dyDescent="0.35">
      <c r="A121" s="713" t="s">
        <v>731</v>
      </c>
      <c r="B121" s="714">
        <v>44712</v>
      </c>
      <c r="C121" s="713" t="s">
        <v>714</v>
      </c>
      <c r="D121" s="919">
        <v>1202306.8999999999</v>
      </c>
    </row>
    <row r="122" spans="1:4" s="894" customFormat="1" x14ac:dyDescent="0.35">
      <c r="A122" s="713" t="s">
        <v>769</v>
      </c>
      <c r="B122" s="714"/>
      <c r="C122" s="713"/>
      <c r="D122" s="919">
        <f>SUM(D115:D121)</f>
        <v>12814046.49</v>
      </c>
    </row>
    <row r="123" spans="1:4" s="894" customFormat="1" x14ac:dyDescent="0.35">
      <c r="A123" s="325"/>
      <c r="B123" s="708"/>
      <c r="C123" s="325"/>
      <c r="D123" s="918"/>
    </row>
    <row r="124" spans="1:4" x14ac:dyDescent="0.35">
      <c r="A124" s="713" t="s">
        <v>732</v>
      </c>
      <c r="B124" s="714">
        <v>44712</v>
      </c>
      <c r="C124" s="713" t="s">
        <v>710</v>
      </c>
      <c r="D124" s="919">
        <v>4083.46</v>
      </c>
    </row>
    <row r="125" spans="1:4" x14ac:dyDescent="0.35">
      <c r="A125" s="713" t="s">
        <v>732</v>
      </c>
      <c r="B125" s="714">
        <v>44712</v>
      </c>
      <c r="C125" s="713" t="s">
        <v>707</v>
      </c>
      <c r="D125" s="919">
        <v>489977</v>
      </c>
    </row>
    <row r="126" spans="1:4" x14ac:dyDescent="0.35">
      <c r="A126" s="713" t="s">
        <v>732</v>
      </c>
      <c r="B126" s="714">
        <v>44712</v>
      </c>
      <c r="C126" s="713" t="s">
        <v>713</v>
      </c>
      <c r="D126" s="919">
        <v>2304.5</v>
      </c>
    </row>
    <row r="127" spans="1:4" x14ac:dyDescent="0.35">
      <c r="A127" s="713" t="s">
        <v>732</v>
      </c>
      <c r="B127" s="714">
        <v>44712</v>
      </c>
      <c r="C127" s="713" t="s">
        <v>709</v>
      </c>
      <c r="D127" s="919">
        <v>11960.75</v>
      </c>
    </row>
    <row r="128" spans="1:4" x14ac:dyDescent="0.35">
      <c r="A128" s="713" t="s">
        <v>732</v>
      </c>
      <c r="B128" s="714">
        <v>44712</v>
      </c>
      <c r="C128" s="713" t="s">
        <v>714</v>
      </c>
      <c r="D128" s="919">
        <v>123073</v>
      </c>
    </row>
    <row r="129" spans="1:4" x14ac:dyDescent="0.35">
      <c r="A129" s="713" t="s">
        <v>732</v>
      </c>
      <c r="B129" s="714">
        <v>44712</v>
      </c>
      <c r="C129" s="713" t="s">
        <v>712</v>
      </c>
      <c r="D129" s="919">
        <v>284</v>
      </c>
    </row>
    <row r="130" spans="1:4" s="894" customFormat="1" x14ac:dyDescent="0.35">
      <c r="A130" s="713" t="s">
        <v>769</v>
      </c>
      <c r="B130" s="714"/>
      <c r="C130" s="713"/>
      <c r="D130" s="919">
        <f>SUM(D124:D129)</f>
        <v>631682.71</v>
      </c>
    </row>
    <row r="131" spans="1:4" s="894" customFormat="1" x14ac:dyDescent="0.35">
      <c r="A131" s="325"/>
      <c r="B131" s="708"/>
      <c r="C131" s="325"/>
      <c r="D131" s="918"/>
    </row>
    <row r="132" spans="1:4" x14ac:dyDescent="0.35">
      <c r="A132" s="713" t="s">
        <v>777</v>
      </c>
      <c r="B132" s="714">
        <v>44712</v>
      </c>
      <c r="C132" s="713" t="s">
        <v>709</v>
      </c>
      <c r="D132" s="919">
        <v>34735.72</v>
      </c>
    </row>
    <row r="133" spans="1:4" x14ac:dyDescent="0.35">
      <c r="A133" s="713" t="s">
        <v>777</v>
      </c>
      <c r="B133" s="714">
        <v>44712</v>
      </c>
      <c r="C133" s="713" t="s">
        <v>714</v>
      </c>
      <c r="D133" s="919">
        <v>13076.1</v>
      </c>
    </row>
    <row r="134" spans="1:4" s="894" customFormat="1" x14ac:dyDescent="0.35">
      <c r="A134" s="713" t="s">
        <v>769</v>
      </c>
      <c r="B134" s="714"/>
      <c r="C134" s="713"/>
      <c r="D134" s="919">
        <f>SUM(D132:D133)</f>
        <v>47811.82</v>
      </c>
    </row>
    <row r="135" spans="1:4" s="894" customFormat="1" x14ac:dyDescent="0.35">
      <c r="A135" s="325"/>
      <c r="B135" s="708"/>
      <c r="C135" s="325"/>
      <c r="D135" s="918"/>
    </row>
    <row r="136" spans="1:4" x14ac:dyDescent="0.35">
      <c r="A136" s="713" t="s">
        <v>734</v>
      </c>
      <c r="B136" s="714">
        <v>44712</v>
      </c>
      <c r="C136" s="713" t="s">
        <v>722</v>
      </c>
      <c r="D136" s="919">
        <v>-65489.21</v>
      </c>
    </row>
    <row r="137" spans="1:4" s="894" customFormat="1" x14ac:dyDescent="0.35">
      <c r="A137" s="713" t="s">
        <v>769</v>
      </c>
      <c r="B137" s="714"/>
      <c r="C137" s="713"/>
      <c r="D137" s="919">
        <f>SUM(D136)</f>
        <v>-65489.21</v>
      </c>
    </row>
    <row r="138" spans="1:4" s="894" customFormat="1" x14ac:dyDescent="0.35">
      <c r="A138" s="325"/>
      <c r="B138" s="708"/>
      <c r="C138" s="325"/>
      <c r="D138" s="918"/>
    </row>
    <row r="139" spans="1:4" x14ac:dyDescent="0.35">
      <c r="A139" s="713" t="s">
        <v>736</v>
      </c>
      <c r="B139" s="714">
        <v>44712</v>
      </c>
      <c r="C139" s="713" t="s">
        <v>714</v>
      </c>
      <c r="D139" s="919">
        <v>410805.9</v>
      </c>
    </row>
    <row r="140" spans="1:4" x14ac:dyDescent="0.35">
      <c r="A140" s="713" t="s">
        <v>736</v>
      </c>
      <c r="B140" s="714">
        <v>44712</v>
      </c>
      <c r="C140" s="713" t="s">
        <v>713</v>
      </c>
      <c r="D140" s="919">
        <v>4006</v>
      </c>
    </row>
    <row r="141" spans="1:4" x14ac:dyDescent="0.35">
      <c r="A141" s="713" t="s">
        <v>736</v>
      </c>
      <c r="B141" s="714">
        <v>44712</v>
      </c>
      <c r="C141" s="713" t="s">
        <v>712</v>
      </c>
      <c r="D141" s="919">
        <v>3007</v>
      </c>
    </row>
    <row r="142" spans="1:4" x14ac:dyDescent="0.35">
      <c r="A142" s="713" t="s">
        <v>736</v>
      </c>
      <c r="B142" s="714">
        <v>44712</v>
      </c>
      <c r="C142" s="713" t="s">
        <v>709</v>
      </c>
      <c r="D142" s="919">
        <v>140033.88</v>
      </c>
    </row>
    <row r="143" spans="1:4" x14ac:dyDescent="0.35">
      <c r="A143" s="713" t="s">
        <v>736</v>
      </c>
      <c r="B143" s="714">
        <v>44712</v>
      </c>
      <c r="C143" s="713" t="s">
        <v>707</v>
      </c>
      <c r="D143" s="919">
        <v>793184</v>
      </c>
    </row>
    <row r="144" spans="1:4" s="894" customFormat="1" x14ac:dyDescent="0.35">
      <c r="A144" s="713" t="s">
        <v>769</v>
      </c>
      <c r="B144" s="714"/>
      <c r="C144" s="713"/>
      <c r="D144" s="919">
        <f>SUM(D139:D143)</f>
        <v>1351036.78</v>
      </c>
    </row>
    <row r="145" spans="1:4" s="894" customFormat="1" x14ac:dyDescent="0.35">
      <c r="A145" s="325"/>
      <c r="B145" s="708"/>
      <c r="C145" s="325"/>
      <c r="D145" s="918"/>
    </row>
    <row r="146" spans="1:4" x14ac:dyDescent="0.35">
      <c r="A146" s="713" t="s">
        <v>511</v>
      </c>
      <c r="B146" s="714">
        <v>44712</v>
      </c>
      <c r="C146" s="713" t="s">
        <v>713</v>
      </c>
      <c r="D146" s="919">
        <v>1175.5</v>
      </c>
    </row>
    <row r="147" spans="1:4" x14ac:dyDescent="0.35">
      <c r="A147" s="713" t="s">
        <v>511</v>
      </c>
      <c r="B147" s="714">
        <v>44712</v>
      </c>
      <c r="C147" s="713" t="s">
        <v>714</v>
      </c>
      <c r="D147" s="919">
        <v>11630.1</v>
      </c>
    </row>
    <row r="148" spans="1:4" s="894" customFormat="1" x14ac:dyDescent="0.35">
      <c r="A148" s="713" t="s">
        <v>769</v>
      </c>
      <c r="B148" s="714"/>
      <c r="C148" s="713"/>
      <c r="D148" s="919">
        <f>SUM(D146:D147)</f>
        <v>12805.6</v>
      </c>
    </row>
    <row r="149" spans="1:4" s="894" customFormat="1" x14ac:dyDescent="0.35">
      <c r="A149" s="325"/>
      <c r="B149" s="708"/>
      <c r="C149" s="325"/>
      <c r="D149" s="918"/>
    </row>
    <row r="150" spans="1:4" x14ac:dyDescent="0.35">
      <c r="A150" s="713" t="s">
        <v>737</v>
      </c>
      <c r="B150" s="714">
        <v>44712</v>
      </c>
      <c r="C150" s="713" t="s">
        <v>713</v>
      </c>
      <c r="D150" s="919">
        <v>25</v>
      </c>
    </row>
    <row r="151" spans="1:4" x14ac:dyDescent="0.35">
      <c r="A151" s="713" t="s">
        <v>737</v>
      </c>
      <c r="B151" s="714">
        <v>44712</v>
      </c>
      <c r="C151" s="713" t="s">
        <v>707</v>
      </c>
      <c r="D151" s="919">
        <v>29244</v>
      </c>
    </row>
    <row r="152" spans="1:4" x14ac:dyDescent="0.35">
      <c r="A152" s="713" t="s">
        <v>737</v>
      </c>
      <c r="B152" s="714">
        <v>44712</v>
      </c>
      <c r="C152" s="713" t="s">
        <v>712</v>
      </c>
      <c r="D152" s="919">
        <v>180</v>
      </c>
    </row>
    <row r="153" spans="1:4" x14ac:dyDescent="0.35">
      <c r="A153" s="713" t="s">
        <v>737</v>
      </c>
      <c r="B153" s="714">
        <v>44712</v>
      </c>
      <c r="C153" s="713" t="s">
        <v>714</v>
      </c>
      <c r="D153" s="919">
        <v>10815.6</v>
      </c>
    </row>
    <row r="154" spans="1:4" s="894" customFormat="1" x14ac:dyDescent="0.35">
      <c r="A154" s="713" t="s">
        <v>769</v>
      </c>
      <c r="B154" s="714"/>
      <c r="C154" s="713"/>
      <c r="D154" s="919">
        <f>SUM(D150:D153)</f>
        <v>40264.6</v>
      </c>
    </row>
    <row r="155" spans="1:4" s="894" customFormat="1" x14ac:dyDescent="0.35">
      <c r="A155" s="325"/>
      <c r="B155" s="708"/>
      <c r="C155" s="325"/>
      <c r="D155" s="918"/>
    </row>
    <row r="156" spans="1:4" x14ac:dyDescent="0.35">
      <c r="A156" s="713" t="s">
        <v>738</v>
      </c>
      <c r="B156" s="714">
        <v>44712</v>
      </c>
      <c r="C156" s="713" t="s">
        <v>707</v>
      </c>
      <c r="D156" s="919">
        <v>8976</v>
      </c>
    </row>
    <row r="157" spans="1:4" x14ac:dyDescent="0.35">
      <c r="A157" s="713" t="s">
        <v>738</v>
      </c>
      <c r="B157" s="714">
        <v>44712</v>
      </c>
      <c r="C157" s="713" t="s">
        <v>714</v>
      </c>
      <c r="D157" s="919">
        <v>3688.3</v>
      </c>
    </row>
    <row r="158" spans="1:4" s="894" customFormat="1" x14ac:dyDescent="0.35">
      <c r="A158" s="713" t="s">
        <v>769</v>
      </c>
      <c r="B158" s="714"/>
      <c r="C158" s="713"/>
      <c r="D158" s="919">
        <f>SUM(D156:D157)</f>
        <v>12664.3</v>
      </c>
    </row>
    <row r="159" spans="1:4" s="894" customFormat="1" x14ac:dyDescent="0.35">
      <c r="A159" s="325"/>
      <c r="B159" s="708"/>
      <c r="C159" s="325"/>
      <c r="D159" s="918"/>
    </row>
    <row r="160" spans="1:4" x14ac:dyDescent="0.35">
      <c r="A160" s="713" t="s">
        <v>739</v>
      </c>
      <c r="B160" s="714">
        <v>44712</v>
      </c>
      <c r="C160" s="713" t="s">
        <v>707</v>
      </c>
      <c r="D160" s="919">
        <v>142044</v>
      </c>
    </row>
    <row r="161" spans="1:4" x14ac:dyDescent="0.35">
      <c r="A161" s="713" t="s">
        <v>739</v>
      </c>
      <c r="B161" s="714">
        <v>44712</v>
      </c>
      <c r="C161" s="713" t="s">
        <v>714</v>
      </c>
      <c r="D161" s="919">
        <v>49759.7</v>
      </c>
    </row>
    <row r="162" spans="1:4" x14ac:dyDescent="0.35">
      <c r="A162" s="713" t="s">
        <v>739</v>
      </c>
      <c r="B162" s="714">
        <v>44712</v>
      </c>
      <c r="C162" s="713" t="s">
        <v>712</v>
      </c>
      <c r="D162" s="919">
        <v>349.5</v>
      </c>
    </row>
    <row r="163" spans="1:4" x14ac:dyDescent="0.35">
      <c r="A163" s="713" t="s">
        <v>739</v>
      </c>
      <c r="B163" s="714">
        <v>44712</v>
      </c>
      <c r="C163" s="713" t="s">
        <v>709</v>
      </c>
      <c r="D163" s="919">
        <v>26831.61</v>
      </c>
    </row>
    <row r="164" spans="1:4" x14ac:dyDescent="0.35">
      <c r="A164" s="713" t="s">
        <v>739</v>
      </c>
      <c r="B164" s="714">
        <v>44712</v>
      </c>
      <c r="C164" s="713" t="s">
        <v>713</v>
      </c>
      <c r="D164" s="919">
        <v>285.5</v>
      </c>
    </row>
    <row r="165" spans="1:4" s="894" customFormat="1" x14ac:dyDescent="0.35">
      <c r="A165" s="713" t="s">
        <v>769</v>
      </c>
      <c r="B165" s="714"/>
      <c r="C165" s="713"/>
      <c r="D165" s="919">
        <f>SUM(D160:D164)</f>
        <v>219270.31</v>
      </c>
    </row>
    <row r="166" spans="1:4" s="894" customFormat="1" x14ac:dyDescent="0.35">
      <c r="A166" s="325"/>
      <c r="B166" s="708"/>
      <c r="C166" s="325"/>
      <c r="D166" s="918"/>
    </row>
    <row r="167" spans="1:4" x14ac:dyDescent="0.35">
      <c r="A167" s="713" t="s">
        <v>740</v>
      </c>
      <c r="B167" s="714">
        <v>44712</v>
      </c>
      <c r="C167" s="713" t="s">
        <v>707</v>
      </c>
      <c r="D167" s="919">
        <v>74060</v>
      </c>
    </row>
    <row r="168" spans="1:4" x14ac:dyDescent="0.35">
      <c r="A168" s="713" t="s">
        <v>740</v>
      </c>
      <c r="B168" s="714">
        <v>44712</v>
      </c>
      <c r="C168" s="713" t="s">
        <v>713</v>
      </c>
      <c r="D168" s="919">
        <v>846</v>
      </c>
    </row>
    <row r="169" spans="1:4" x14ac:dyDescent="0.35">
      <c r="A169" s="713" t="s">
        <v>740</v>
      </c>
      <c r="B169" s="714">
        <v>44712</v>
      </c>
      <c r="C169" s="713" t="s">
        <v>714</v>
      </c>
      <c r="D169" s="919">
        <v>20544</v>
      </c>
    </row>
    <row r="170" spans="1:4" s="894" customFormat="1" x14ac:dyDescent="0.35">
      <c r="A170" s="713" t="s">
        <v>769</v>
      </c>
      <c r="B170" s="714"/>
      <c r="C170" s="713"/>
      <c r="D170" s="919">
        <f>SUM(D167:D169)</f>
        <v>95450</v>
      </c>
    </row>
    <row r="171" spans="1:4" s="894" customFormat="1" x14ac:dyDescent="0.35">
      <c r="A171" s="325"/>
      <c r="B171" s="708"/>
      <c r="C171" s="325"/>
      <c r="D171" s="918"/>
    </row>
    <row r="172" spans="1:4" x14ac:dyDescent="0.35">
      <c r="A172" s="713" t="s">
        <v>741</v>
      </c>
      <c r="B172" s="714">
        <v>44712</v>
      </c>
      <c r="C172" s="713" t="s">
        <v>714</v>
      </c>
      <c r="D172" s="919">
        <v>17504.400000000001</v>
      </c>
    </row>
    <row r="173" spans="1:4" x14ac:dyDescent="0.35">
      <c r="A173" s="713" t="s">
        <v>741</v>
      </c>
      <c r="B173" s="714">
        <v>44712</v>
      </c>
      <c r="C173" s="713" t="s">
        <v>713</v>
      </c>
      <c r="D173" s="919">
        <v>114</v>
      </c>
    </row>
    <row r="174" spans="1:4" x14ac:dyDescent="0.35">
      <c r="A174" s="713" t="s">
        <v>741</v>
      </c>
      <c r="B174" s="714">
        <v>44712</v>
      </c>
      <c r="C174" s="713" t="s">
        <v>709</v>
      </c>
      <c r="D174" s="919">
        <v>148580.01</v>
      </c>
    </row>
    <row r="175" spans="1:4" s="894" customFormat="1" x14ac:dyDescent="0.35">
      <c r="A175" s="713" t="s">
        <v>769</v>
      </c>
      <c r="B175" s="714"/>
      <c r="C175" s="713"/>
      <c r="D175" s="919">
        <f>SUM(D172:D174)</f>
        <v>166198.41</v>
      </c>
    </row>
    <row r="176" spans="1:4" s="894" customFormat="1" x14ac:dyDescent="0.35">
      <c r="A176" s="325"/>
      <c r="B176" s="708"/>
      <c r="C176" s="325"/>
      <c r="D176" s="918"/>
    </row>
    <row r="177" spans="1:4" x14ac:dyDescent="0.35">
      <c r="A177" s="713" t="s">
        <v>742</v>
      </c>
      <c r="B177" s="714">
        <v>44712</v>
      </c>
      <c r="C177" s="713" t="s">
        <v>707</v>
      </c>
      <c r="D177" s="919">
        <v>873945</v>
      </c>
    </row>
    <row r="178" spans="1:4" x14ac:dyDescent="0.35">
      <c r="A178" s="713" t="s">
        <v>742</v>
      </c>
      <c r="B178" s="714">
        <v>44712</v>
      </c>
      <c r="C178" s="713" t="s">
        <v>712</v>
      </c>
      <c r="D178" s="919">
        <v>1757</v>
      </c>
    </row>
    <row r="179" spans="1:4" x14ac:dyDescent="0.35">
      <c r="A179" s="713" t="s">
        <v>742</v>
      </c>
      <c r="B179" s="714">
        <v>44712</v>
      </c>
      <c r="C179" s="713" t="s">
        <v>713</v>
      </c>
      <c r="D179" s="919">
        <v>4673</v>
      </c>
    </row>
    <row r="180" spans="1:4" x14ac:dyDescent="0.35">
      <c r="A180" s="713" t="s">
        <v>742</v>
      </c>
      <c r="B180" s="714">
        <v>44712</v>
      </c>
      <c r="C180" s="713" t="s">
        <v>714</v>
      </c>
      <c r="D180" s="919">
        <v>154780.6</v>
      </c>
    </row>
    <row r="181" spans="1:4" s="894" customFormat="1" x14ac:dyDescent="0.35">
      <c r="A181" s="713" t="s">
        <v>769</v>
      </c>
      <c r="B181" s="714"/>
      <c r="C181" s="713"/>
      <c r="D181" s="919">
        <f>SUM(D177:D180)</f>
        <v>1035155.6</v>
      </c>
    </row>
    <row r="182" spans="1:4" s="894" customFormat="1" x14ac:dyDescent="0.35">
      <c r="A182" s="325"/>
      <c r="B182" s="708"/>
      <c r="C182" s="325"/>
      <c r="D182" s="918"/>
    </row>
    <row r="183" spans="1:4" x14ac:dyDescent="0.35">
      <c r="A183" s="713" t="s">
        <v>743</v>
      </c>
      <c r="B183" s="714">
        <v>44712</v>
      </c>
      <c r="C183" s="713" t="s">
        <v>714</v>
      </c>
      <c r="D183" s="919">
        <v>143248.79999999999</v>
      </c>
    </row>
    <row r="184" spans="1:4" x14ac:dyDescent="0.35">
      <c r="A184" s="713" t="s">
        <v>743</v>
      </c>
      <c r="B184" s="714">
        <v>44712</v>
      </c>
      <c r="C184" s="713" t="s">
        <v>713</v>
      </c>
      <c r="D184" s="919">
        <v>14870</v>
      </c>
    </row>
    <row r="185" spans="1:4" x14ac:dyDescent="0.35">
      <c r="A185" s="713" t="s">
        <v>743</v>
      </c>
      <c r="B185" s="714">
        <v>44712</v>
      </c>
      <c r="C185" s="713" t="s">
        <v>709</v>
      </c>
      <c r="D185" s="919">
        <v>20178.95</v>
      </c>
    </row>
    <row r="186" spans="1:4" x14ac:dyDescent="0.35">
      <c r="A186" s="713" t="s">
        <v>743</v>
      </c>
      <c r="B186" s="714">
        <v>44712</v>
      </c>
      <c r="C186" s="713" t="s">
        <v>710</v>
      </c>
      <c r="D186" s="919">
        <v>308.27999999999997</v>
      </c>
    </row>
    <row r="187" spans="1:4" x14ac:dyDescent="0.35">
      <c r="A187" s="713" t="s">
        <v>743</v>
      </c>
      <c r="B187" s="714">
        <v>44712</v>
      </c>
      <c r="C187" s="713" t="s">
        <v>707</v>
      </c>
      <c r="D187" s="919">
        <v>385077</v>
      </c>
    </row>
    <row r="188" spans="1:4" s="894" customFormat="1" x14ac:dyDescent="0.35">
      <c r="A188" s="713" t="s">
        <v>769</v>
      </c>
      <c r="B188" s="714"/>
      <c r="C188" s="713"/>
      <c r="D188" s="919">
        <f>SUM(D183:D187)</f>
        <v>563683.03</v>
      </c>
    </row>
    <row r="189" spans="1:4" s="894" customFormat="1" x14ac:dyDescent="0.35">
      <c r="A189" s="325"/>
      <c r="B189" s="708"/>
      <c r="C189" s="325"/>
      <c r="D189" s="918"/>
    </row>
    <row r="190" spans="1:4" x14ac:dyDescent="0.35">
      <c r="A190" s="713" t="s">
        <v>526</v>
      </c>
      <c r="B190" s="714">
        <v>44712</v>
      </c>
      <c r="C190" s="713" t="s">
        <v>714</v>
      </c>
      <c r="D190" s="919">
        <v>268154.3</v>
      </c>
    </row>
    <row r="191" spans="1:4" x14ac:dyDescent="0.35">
      <c r="A191" s="713" t="s">
        <v>526</v>
      </c>
      <c r="B191" s="714">
        <v>44712</v>
      </c>
      <c r="C191" s="713" t="s">
        <v>712</v>
      </c>
      <c r="D191" s="919">
        <v>997.5</v>
      </c>
    </row>
    <row r="192" spans="1:4" x14ac:dyDescent="0.35">
      <c r="A192" s="713" t="s">
        <v>526</v>
      </c>
      <c r="B192" s="714">
        <v>44712</v>
      </c>
      <c r="C192" s="713" t="s">
        <v>707</v>
      </c>
      <c r="D192" s="919">
        <v>1448906</v>
      </c>
    </row>
    <row r="193" spans="1:4" x14ac:dyDescent="0.35">
      <c r="A193" s="713" t="s">
        <v>526</v>
      </c>
      <c r="B193" s="714">
        <v>44712</v>
      </c>
      <c r="C193" s="713" t="s">
        <v>713</v>
      </c>
      <c r="D193" s="919">
        <v>3575</v>
      </c>
    </row>
    <row r="194" spans="1:4" s="894" customFormat="1" x14ac:dyDescent="0.35">
      <c r="A194" s="713" t="s">
        <v>769</v>
      </c>
      <c r="B194" s="714"/>
      <c r="C194" s="713"/>
      <c r="D194" s="919">
        <f>SUM(D190:D193)</f>
        <v>1721632.8</v>
      </c>
    </row>
    <row r="195" spans="1:4" s="894" customFormat="1" x14ac:dyDescent="0.35">
      <c r="A195" s="325"/>
      <c r="B195" s="708"/>
      <c r="C195" s="325"/>
      <c r="D195" s="918"/>
    </row>
    <row r="196" spans="1:4" x14ac:dyDescent="0.35">
      <c r="A196" s="713" t="s">
        <v>744</v>
      </c>
      <c r="B196" s="714">
        <v>44712</v>
      </c>
      <c r="C196" s="713" t="s">
        <v>707</v>
      </c>
      <c r="D196" s="919">
        <v>29799</v>
      </c>
    </row>
    <row r="197" spans="1:4" x14ac:dyDescent="0.35">
      <c r="A197" s="713" t="s">
        <v>744</v>
      </c>
      <c r="B197" s="714">
        <v>44712</v>
      </c>
      <c r="C197" s="713" t="s">
        <v>713</v>
      </c>
      <c r="D197" s="919">
        <v>4102.7</v>
      </c>
    </row>
    <row r="198" spans="1:4" x14ac:dyDescent="0.35">
      <c r="A198" s="713" t="s">
        <v>744</v>
      </c>
      <c r="B198" s="714">
        <v>44712</v>
      </c>
      <c r="C198" s="713" t="s">
        <v>709</v>
      </c>
      <c r="D198" s="919">
        <v>185929.35</v>
      </c>
    </row>
    <row r="199" spans="1:4" x14ac:dyDescent="0.35">
      <c r="A199" s="713" t="s">
        <v>744</v>
      </c>
      <c r="B199" s="714">
        <v>44712</v>
      </c>
      <c r="C199" s="713" t="s">
        <v>714</v>
      </c>
      <c r="D199" s="919">
        <v>41273.699999999997</v>
      </c>
    </row>
    <row r="200" spans="1:4" x14ac:dyDescent="0.35">
      <c r="A200" s="713" t="s">
        <v>744</v>
      </c>
      <c r="B200" s="714">
        <v>44712</v>
      </c>
      <c r="C200" s="713" t="s">
        <v>712</v>
      </c>
      <c r="D200" s="919">
        <v>180</v>
      </c>
    </row>
    <row r="201" spans="1:4" s="894" customFormat="1" x14ac:dyDescent="0.35">
      <c r="A201" s="713" t="s">
        <v>769</v>
      </c>
      <c r="B201" s="714"/>
      <c r="C201" s="713"/>
      <c r="D201" s="919">
        <f>SUM(D196:D200)</f>
        <v>261284.75</v>
      </c>
    </row>
    <row r="202" spans="1:4" s="894" customFormat="1" x14ac:dyDescent="0.35">
      <c r="A202" s="325"/>
      <c r="B202" s="708"/>
      <c r="C202" s="325"/>
      <c r="D202" s="918"/>
    </row>
    <row r="203" spans="1:4" x14ac:dyDescent="0.35">
      <c r="A203" s="713" t="s">
        <v>745</v>
      </c>
      <c r="B203" s="714">
        <v>44712</v>
      </c>
      <c r="C203" s="713" t="s">
        <v>714</v>
      </c>
      <c r="D203" s="919">
        <v>113166.7</v>
      </c>
    </row>
    <row r="204" spans="1:4" x14ac:dyDescent="0.35">
      <c r="A204" s="713" t="s">
        <v>745</v>
      </c>
      <c r="B204" s="714">
        <v>44712</v>
      </c>
      <c r="C204" s="713" t="s">
        <v>712</v>
      </c>
      <c r="D204" s="919">
        <v>129.9</v>
      </c>
    </row>
    <row r="205" spans="1:4" x14ac:dyDescent="0.35">
      <c r="A205" s="713" t="s">
        <v>745</v>
      </c>
      <c r="B205" s="714">
        <v>44712</v>
      </c>
      <c r="C205" s="713" t="s">
        <v>710</v>
      </c>
      <c r="D205" s="919">
        <v>20619.95</v>
      </c>
    </row>
    <row r="206" spans="1:4" x14ac:dyDescent="0.35">
      <c r="A206" s="713" t="s">
        <v>745</v>
      </c>
      <c r="B206" s="714">
        <v>44712</v>
      </c>
      <c r="C206" s="713" t="s">
        <v>707</v>
      </c>
      <c r="D206" s="919">
        <v>308185</v>
      </c>
    </row>
    <row r="207" spans="1:4" x14ac:dyDescent="0.35">
      <c r="A207" s="713" t="s">
        <v>745</v>
      </c>
      <c r="B207" s="714">
        <v>44712</v>
      </c>
      <c r="C207" s="713" t="s">
        <v>713</v>
      </c>
      <c r="D207" s="919">
        <v>3830</v>
      </c>
    </row>
    <row r="208" spans="1:4" s="894" customFormat="1" x14ac:dyDescent="0.35">
      <c r="A208" s="713" t="s">
        <v>769</v>
      </c>
      <c r="B208" s="714"/>
      <c r="C208" s="713"/>
      <c r="D208" s="919">
        <f>SUM(D203:D207)</f>
        <v>445931.55</v>
      </c>
    </row>
    <row r="209" spans="1:4" s="894" customFormat="1" x14ac:dyDescent="0.35">
      <c r="A209" s="325"/>
      <c r="B209" s="708"/>
      <c r="C209" s="325"/>
      <c r="D209" s="918"/>
    </row>
    <row r="210" spans="1:4" x14ac:dyDescent="0.35">
      <c r="A210" s="713" t="s">
        <v>746</v>
      </c>
      <c r="B210" s="714">
        <v>44712</v>
      </c>
      <c r="C210" s="713" t="s">
        <v>707</v>
      </c>
      <c r="D210" s="919">
        <v>44415</v>
      </c>
    </row>
    <row r="211" spans="1:4" x14ac:dyDescent="0.35">
      <c r="A211" s="713" t="s">
        <v>746</v>
      </c>
      <c r="B211" s="714">
        <v>44712</v>
      </c>
      <c r="C211" s="713" t="s">
        <v>714</v>
      </c>
      <c r="D211" s="919">
        <v>5816.4</v>
      </c>
    </row>
    <row r="212" spans="1:4" x14ac:dyDescent="0.35">
      <c r="A212" s="713" t="s">
        <v>746</v>
      </c>
      <c r="B212" s="714">
        <v>44712</v>
      </c>
      <c r="C212" s="713" t="s">
        <v>709</v>
      </c>
      <c r="D212" s="919">
        <v>13344.67</v>
      </c>
    </row>
    <row r="213" spans="1:4" s="894" customFormat="1" x14ac:dyDescent="0.35">
      <c r="A213" s="713" t="s">
        <v>769</v>
      </c>
      <c r="B213" s="714"/>
      <c r="C213" s="713"/>
      <c r="D213" s="919">
        <f>SUM(D210:D212)</f>
        <v>63576.07</v>
      </c>
    </row>
    <row r="214" spans="1:4" s="894" customFormat="1" x14ac:dyDescent="0.35">
      <c r="A214" s="325"/>
      <c r="B214" s="708"/>
      <c r="C214" s="325"/>
      <c r="D214" s="918"/>
    </row>
    <row r="215" spans="1:4" x14ac:dyDescent="0.35">
      <c r="A215" s="713" t="s">
        <v>748</v>
      </c>
      <c r="B215" s="714">
        <v>44712</v>
      </c>
      <c r="C215" s="713" t="s">
        <v>709</v>
      </c>
      <c r="D215" s="919">
        <v>15173.86</v>
      </c>
    </row>
    <row r="216" spans="1:4" s="894" customFormat="1" x14ac:dyDescent="0.35">
      <c r="A216" s="713" t="s">
        <v>769</v>
      </c>
      <c r="B216" s="714"/>
      <c r="C216" s="713"/>
      <c r="D216" s="919">
        <f>SUM(D215)</f>
        <v>15173.86</v>
      </c>
    </row>
    <row r="217" spans="1:4" s="894" customFormat="1" x14ac:dyDescent="0.35">
      <c r="A217" s="325"/>
      <c r="B217" s="708"/>
      <c r="C217" s="325"/>
      <c r="D217" s="918"/>
    </row>
    <row r="218" spans="1:4" x14ac:dyDescent="0.35">
      <c r="A218" s="713" t="s">
        <v>749</v>
      </c>
      <c r="B218" s="714">
        <v>44712</v>
      </c>
      <c r="C218" s="713" t="s">
        <v>707</v>
      </c>
      <c r="D218" s="919">
        <v>20316</v>
      </c>
    </row>
    <row r="219" spans="1:4" x14ac:dyDescent="0.35">
      <c r="A219" s="713" t="s">
        <v>749</v>
      </c>
      <c r="B219" s="714">
        <v>44712</v>
      </c>
      <c r="C219" s="713" t="s">
        <v>712</v>
      </c>
      <c r="D219" s="919">
        <v>100</v>
      </c>
    </row>
    <row r="220" spans="1:4" x14ac:dyDescent="0.35">
      <c r="A220" s="713" t="s">
        <v>749</v>
      </c>
      <c r="B220" s="714">
        <v>44712</v>
      </c>
      <c r="C220" s="713" t="s">
        <v>713</v>
      </c>
      <c r="D220" s="919">
        <v>792</v>
      </c>
    </row>
    <row r="221" spans="1:4" x14ac:dyDescent="0.35">
      <c r="A221" s="713" t="s">
        <v>749</v>
      </c>
      <c r="B221" s="714">
        <v>44712</v>
      </c>
      <c r="C221" s="713" t="s">
        <v>709</v>
      </c>
      <c r="D221" s="919">
        <v>53766.04</v>
      </c>
    </row>
    <row r="222" spans="1:4" x14ac:dyDescent="0.35">
      <c r="A222" s="713" t="s">
        <v>749</v>
      </c>
      <c r="B222" s="714">
        <v>44712</v>
      </c>
      <c r="C222" s="713" t="s">
        <v>714</v>
      </c>
      <c r="D222" s="919">
        <v>8432.5</v>
      </c>
    </row>
    <row r="223" spans="1:4" s="894" customFormat="1" x14ac:dyDescent="0.35">
      <c r="A223" s="713" t="s">
        <v>769</v>
      </c>
      <c r="B223" s="714"/>
      <c r="C223" s="713"/>
      <c r="D223" s="919">
        <f>SUM(D218:D222)</f>
        <v>83406.540000000008</v>
      </c>
    </row>
    <row r="224" spans="1:4" s="894" customFormat="1" x14ac:dyDescent="0.35">
      <c r="A224" s="325"/>
      <c r="B224" s="708"/>
      <c r="C224" s="325"/>
      <c r="D224" s="918"/>
    </row>
    <row r="225" spans="1:4" x14ac:dyDescent="0.35">
      <c r="A225" s="713" t="s">
        <v>750</v>
      </c>
      <c r="B225" s="714">
        <v>44712</v>
      </c>
      <c r="C225" s="713" t="s">
        <v>707</v>
      </c>
      <c r="D225" s="919">
        <v>583294</v>
      </c>
    </row>
    <row r="226" spans="1:4" x14ac:dyDescent="0.35">
      <c r="A226" s="713" t="s">
        <v>750</v>
      </c>
      <c r="B226" s="714">
        <v>44712</v>
      </c>
      <c r="C226" s="713" t="s">
        <v>714</v>
      </c>
      <c r="D226" s="919">
        <v>244929</v>
      </c>
    </row>
    <row r="227" spans="1:4" x14ac:dyDescent="0.35">
      <c r="A227" s="713" t="s">
        <v>750</v>
      </c>
      <c r="B227" s="714">
        <v>44712</v>
      </c>
      <c r="C227" s="713" t="s">
        <v>713</v>
      </c>
      <c r="D227" s="919">
        <v>3641</v>
      </c>
    </row>
    <row r="228" spans="1:4" x14ac:dyDescent="0.35">
      <c r="A228" s="713" t="s">
        <v>750</v>
      </c>
      <c r="B228" s="714">
        <v>44712</v>
      </c>
      <c r="C228" s="713" t="s">
        <v>712</v>
      </c>
      <c r="D228" s="919">
        <v>412</v>
      </c>
    </row>
    <row r="229" spans="1:4" x14ac:dyDescent="0.35">
      <c r="A229" s="713" t="s">
        <v>750</v>
      </c>
      <c r="B229" s="714">
        <v>44712</v>
      </c>
      <c r="C229" s="713" t="s">
        <v>709</v>
      </c>
      <c r="D229" s="919">
        <v>145652.22</v>
      </c>
    </row>
    <row r="230" spans="1:4" s="894" customFormat="1" x14ac:dyDescent="0.35">
      <c r="A230" s="713" t="s">
        <v>769</v>
      </c>
      <c r="B230" s="714"/>
      <c r="C230" s="713"/>
      <c r="D230" s="919">
        <f>SUM(D225:D229)</f>
        <v>977928.22</v>
      </c>
    </row>
    <row r="231" spans="1:4" s="894" customFormat="1" x14ac:dyDescent="0.35">
      <c r="A231" s="325"/>
      <c r="B231" s="708"/>
      <c r="C231" s="325"/>
      <c r="D231" s="918"/>
    </row>
    <row r="232" spans="1:4" x14ac:dyDescent="0.35">
      <c r="A232" s="713" t="s">
        <v>751</v>
      </c>
      <c r="B232" s="714">
        <v>44712</v>
      </c>
      <c r="C232" s="713" t="s">
        <v>714</v>
      </c>
      <c r="D232" s="919">
        <v>248559.9</v>
      </c>
    </row>
    <row r="233" spans="1:4" x14ac:dyDescent="0.35">
      <c r="A233" s="713" t="s">
        <v>751</v>
      </c>
      <c r="B233" s="714">
        <v>44712</v>
      </c>
      <c r="C233" s="713" t="s">
        <v>707</v>
      </c>
      <c r="D233" s="919">
        <v>870813</v>
      </c>
    </row>
    <row r="234" spans="1:4" x14ac:dyDescent="0.35">
      <c r="A234" s="713" t="s">
        <v>751</v>
      </c>
      <c r="B234" s="714">
        <v>44712</v>
      </c>
      <c r="C234" s="713" t="s">
        <v>710</v>
      </c>
      <c r="D234" s="919">
        <v>1187.82</v>
      </c>
    </row>
    <row r="235" spans="1:4" x14ac:dyDescent="0.35">
      <c r="A235" s="713" t="s">
        <v>751</v>
      </c>
      <c r="B235" s="714">
        <v>44712</v>
      </c>
      <c r="C235" s="713" t="s">
        <v>713</v>
      </c>
      <c r="D235" s="919">
        <v>8993.7000000000007</v>
      </c>
    </row>
    <row r="236" spans="1:4" s="894" customFormat="1" x14ac:dyDescent="0.35">
      <c r="A236" s="713" t="s">
        <v>769</v>
      </c>
      <c r="B236" s="714"/>
      <c r="C236" s="713"/>
      <c r="D236" s="919">
        <f>SUM(D232:D235)</f>
        <v>1129554.42</v>
      </c>
    </row>
    <row r="237" spans="1:4" s="894" customFormat="1" x14ac:dyDescent="0.35">
      <c r="A237" s="325"/>
      <c r="B237" s="708"/>
      <c r="C237" s="325"/>
      <c r="D237" s="918"/>
    </row>
    <row r="238" spans="1:4" x14ac:dyDescent="0.35">
      <c r="A238" s="713" t="s">
        <v>752</v>
      </c>
      <c r="B238" s="714">
        <v>44712</v>
      </c>
      <c r="C238" s="713" t="s">
        <v>714</v>
      </c>
      <c r="D238" s="919">
        <v>8602.2000000000007</v>
      </c>
    </row>
    <row r="239" spans="1:4" x14ac:dyDescent="0.35">
      <c r="A239" s="713" t="s">
        <v>752</v>
      </c>
      <c r="B239" s="714">
        <v>44712</v>
      </c>
      <c r="C239" s="713" t="s">
        <v>709</v>
      </c>
      <c r="D239" s="919">
        <v>21632.18</v>
      </c>
    </row>
    <row r="240" spans="1:4" s="894" customFormat="1" x14ac:dyDescent="0.35">
      <c r="A240" s="713" t="s">
        <v>769</v>
      </c>
      <c r="B240" s="714"/>
      <c r="C240" s="713"/>
      <c r="D240" s="919">
        <f>SUM(D238:D239)</f>
        <v>30234.38</v>
      </c>
    </row>
    <row r="241" spans="1:4" s="894" customFormat="1" x14ac:dyDescent="0.35">
      <c r="A241" s="325"/>
      <c r="B241" s="708"/>
      <c r="C241" s="325"/>
      <c r="D241" s="918"/>
    </row>
    <row r="242" spans="1:4" x14ac:dyDescent="0.35">
      <c r="A242" s="713" t="s">
        <v>753</v>
      </c>
      <c r="B242" s="714">
        <v>44712</v>
      </c>
      <c r="C242" s="713" t="s">
        <v>707</v>
      </c>
      <c r="D242" s="919">
        <v>210769</v>
      </c>
    </row>
    <row r="243" spans="1:4" x14ac:dyDescent="0.35">
      <c r="A243" s="713" t="s">
        <v>753</v>
      </c>
      <c r="B243" s="714">
        <v>44712</v>
      </c>
      <c r="C243" s="713" t="s">
        <v>714</v>
      </c>
      <c r="D243" s="919">
        <v>61635.3</v>
      </c>
    </row>
    <row r="244" spans="1:4" x14ac:dyDescent="0.35">
      <c r="A244" s="713" t="s">
        <v>753</v>
      </c>
      <c r="B244" s="714">
        <v>44712</v>
      </c>
      <c r="C244" s="713" t="s">
        <v>713</v>
      </c>
      <c r="D244" s="919">
        <v>2694.6</v>
      </c>
    </row>
    <row r="245" spans="1:4" s="894" customFormat="1" x14ac:dyDescent="0.35">
      <c r="A245" s="713" t="s">
        <v>769</v>
      </c>
      <c r="B245" s="714"/>
      <c r="C245" s="713"/>
      <c r="D245" s="919">
        <f>SUM(D242:D244)</f>
        <v>275098.89999999997</v>
      </c>
    </row>
    <row r="246" spans="1:4" s="894" customFormat="1" x14ac:dyDescent="0.35">
      <c r="A246" s="325"/>
      <c r="B246" s="708"/>
      <c r="C246" s="325"/>
      <c r="D246" s="918"/>
    </row>
    <row r="247" spans="1:4" x14ac:dyDescent="0.35">
      <c r="A247" s="713" t="s">
        <v>754</v>
      </c>
      <c r="B247" s="714">
        <v>44712</v>
      </c>
      <c r="C247" s="713" t="s">
        <v>722</v>
      </c>
      <c r="D247" s="919">
        <v>-25608.15</v>
      </c>
    </row>
    <row r="248" spans="1:4" x14ac:dyDescent="0.35">
      <c r="A248" s="713" t="s">
        <v>754</v>
      </c>
      <c r="B248" s="714">
        <v>44712</v>
      </c>
      <c r="C248" s="713" t="s">
        <v>707</v>
      </c>
      <c r="D248" s="919">
        <v>4586364</v>
      </c>
    </row>
    <row r="249" spans="1:4" x14ac:dyDescent="0.35">
      <c r="A249" s="713" t="s">
        <v>754</v>
      </c>
      <c r="B249" s="714">
        <v>44712</v>
      </c>
      <c r="C249" s="713" t="s">
        <v>719</v>
      </c>
      <c r="D249" s="919">
        <v>16399</v>
      </c>
    </row>
    <row r="250" spans="1:4" x14ac:dyDescent="0.35">
      <c r="A250" s="713" t="s">
        <v>754</v>
      </c>
      <c r="B250" s="714">
        <v>44712</v>
      </c>
      <c r="C250" s="713" t="s">
        <v>713</v>
      </c>
      <c r="D250" s="919">
        <v>14666</v>
      </c>
    </row>
    <row r="251" spans="1:4" x14ac:dyDescent="0.35">
      <c r="A251" s="713" t="s">
        <v>754</v>
      </c>
      <c r="B251" s="714">
        <v>44712</v>
      </c>
      <c r="C251" s="713" t="s">
        <v>709</v>
      </c>
      <c r="D251" s="919">
        <v>2791512.49</v>
      </c>
    </row>
    <row r="252" spans="1:4" x14ac:dyDescent="0.35">
      <c r="A252" s="713" t="s">
        <v>754</v>
      </c>
      <c r="B252" s="714">
        <v>44712</v>
      </c>
      <c r="C252" s="713" t="s">
        <v>712</v>
      </c>
      <c r="D252" s="919">
        <v>4227.3999999999996</v>
      </c>
    </row>
    <row r="253" spans="1:4" x14ac:dyDescent="0.35">
      <c r="A253" s="713" t="s">
        <v>754</v>
      </c>
      <c r="B253" s="714">
        <v>44712</v>
      </c>
      <c r="C253" s="713" t="s">
        <v>718</v>
      </c>
      <c r="D253" s="919">
        <v>-388451</v>
      </c>
    </row>
    <row r="254" spans="1:4" x14ac:dyDescent="0.35">
      <c r="A254" s="713" t="s">
        <v>754</v>
      </c>
      <c r="B254" s="714">
        <v>44712</v>
      </c>
      <c r="C254" s="713" t="s">
        <v>714</v>
      </c>
      <c r="D254" s="919">
        <v>845055.8</v>
      </c>
    </row>
    <row r="255" spans="1:4" s="894" customFormat="1" x14ac:dyDescent="0.35">
      <c r="A255" s="713" t="s">
        <v>769</v>
      </c>
      <c r="B255" s="714"/>
      <c r="C255" s="713"/>
      <c r="D255" s="919">
        <f>SUM(D247:D254)</f>
        <v>7844165.54</v>
      </c>
    </row>
    <row r="256" spans="1:4" s="894" customFormat="1" x14ac:dyDescent="0.35">
      <c r="A256" s="325"/>
      <c r="B256" s="708"/>
      <c r="C256" s="325"/>
      <c r="D256" s="918"/>
    </row>
    <row r="257" spans="1:4" x14ac:dyDescent="0.35">
      <c r="A257" s="713" t="s">
        <v>755</v>
      </c>
      <c r="B257" s="714">
        <v>44712</v>
      </c>
      <c r="C257" s="713" t="s">
        <v>714</v>
      </c>
      <c r="D257" s="919">
        <v>516603.9</v>
      </c>
    </row>
    <row r="258" spans="1:4" x14ac:dyDescent="0.35">
      <c r="A258" s="713" t="s">
        <v>755</v>
      </c>
      <c r="B258" s="714">
        <v>44712</v>
      </c>
      <c r="C258" s="713" t="s">
        <v>707</v>
      </c>
      <c r="D258" s="919">
        <v>2142946</v>
      </c>
    </row>
    <row r="259" spans="1:4" x14ac:dyDescent="0.35">
      <c r="A259" s="713" t="s">
        <v>755</v>
      </c>
      <c r="B259" s="714">
        <v>44712</v>
      </c>
      <c r="C259" s="713" t="s">
        <v>713</v>
      </c>
      <c r="D259" s="919">
        <v>19253.900000000001</v>
      </c>
    </row>
    <row r="260" spans="1:4" x14ac:dyDescent="0.35">
      <c r="A260" s="713" t="s">
        <v>755</v>
      </c>
      <c r="B260" s="714">
        <v>44712</v>
      </c>
      <c r="C260" s="713" t="s">
        <v>712</v>
      </c>
      <c r="D260" s="919">
        <v>406.2</v>
      </c>
    </row>
    <row r="261" spans="1:4" x14ac:dyDescent="0.35">
      <c r="A261" s="713" t="s">
        <v>755</v>
      </c>
      <c r="B261" s="714">
        <v>44712</v>
      </c>
      <c r="C261" s="713" t="s">
        <v>709</v>
      </c>
      <c r="D261" s="919">
        <v>49991.23</v>
      </c>
    </row>
    <row r="262" spans="1:4" s="894" customFormat="1" x14ac:dyDescent="0.35">
      <c r="A262" s="713" t="s">
        <v>769</v>
      </c>
      <c r="B262" s="714"/>
      <c r="C262" s="713"/>
      <c r="D262" s="919">
        <f>SUM(D257:D261)</f>
        <v>2729201.23</v>
      </c>
    </row>
    <row r="263" spans="1:4" s="894" customFormat="1" x14ac:dyDescent="0.35">
      <c r="A263" s="325"/>
      <c r="B263" s="708"/>
      <c r="C263" s="325"/>
      <c r="D263" s="918"/>
    </row>
    <row r="264" spans="1:4" x14ac:dyDescent="0.35">
      <c r="A264" s="713" t="s">
        <v>757</v>
      </c>
      <c r="B264" s="714">
        <v>44712</v>
      </c>
      <c r="C264" s="713" t="s">
        <v>713</v>
      </c>
      <c r="D264" s="919">
        <v>1038.5</v>
      </c>
    </row>
    <row r="265" spans="1:4" x14ac:dyDescent="0.35">
      <c r="A265" s="713" t="s">
        <v>757</v>
      </c>
      <c r="B265" s="714">
        <v>44712</v>
      </c>
      <c r="C265" s="713" t="s">
        <v>709</v>
      </c>
      <c r="D265" s="919">
        <v>7429.77</v>
      </c>
    </row>
    <row r="266" spans="1:4" x14ac:dyDescent="0.35">
      <c r="A266" s="713" t="s">
        <v>757</v>
      </c>
      <c r="B266" s="714">
        <v>44712</v>
      </c>
      <c r="C266" s="713" t="s">
        <v>707</v>
      </c>
      <c r="D266" s="919">
        <v>64040</v>
      </c>
    </row>
    <row r="267" spans="1:4" x14ac:dyDescent="0.35">
      <c r="A267" s="713" t="s">
        <v>757</v>
      </c>
      <c r="B267" s="714">
        <v>44712</v>
      </c>
      <c r="C267" s="713" t="s">
        <v>714</v>
      </c>
      <c r="D267" s="919">
        <v>12059.4</v>
      </c>
    </row>
    <row r="268" spans="1:4" x14ac:dyDescent="0.35">
      <c r="A268" s="713" t="s">
        <v>757</v>
      </c>
      <c r="B268" s="714">
        <v>44712</v>
      </c>
      <c r="C268" s="713" t="s">
        <v>719</v>
      </c>
      <c r="D268" s="919">
        <v>2359.0500000000002</v>
      </c>
    </row>
    <row r="269" spans="1:4" s="894" customFormat="1" x14ac:dyDescent="0.35">
      <c r="A269" s="713" t="s">
        <v>769</v>
      </c>
      <c r="B269" s="714"/>
      <c r="C269" s="713"/>
      <c r="D269" s="919">
        <f>SUM(D263:D268)</f>
        <v>86926.720000000001</v>
      </c>
    </row>
    <row r="270" spans="1:4" s="894" customFormat="1" x14ac:dyDescent="0.35">
      <c r="A270" s="325"/>
      <c r="B270" s="708"/>
      <c r="C270" s="325"/>
      <c r="D270" s="918"/>
    </row>
    <row r="271" spans="1:4" x14ac:dyDescent="0.35">
      <c r="A271" s="713" t="s">
        <v>758</v>
      </c>
      <c r="B271" s="714">
        <v>44712</v>
      </c>
      <c r="C271" s="713" t="s">
        <v>709</v>
      </c>
      <c r="D271" s="919">
        <v>61848.74</v>
      </c>
    </row>
    <row r="272" spans="1:4" s="894" customFormat="1" x14ac:dyDescent="0.35">
      <c r="A272" s="713" t="s">
        <v>769</v>
      </c>
      <c r="B272" s="714"/>
      <c r="C272" s="713"/>
      <c r="D272" s="919">
        <f>SUM(D271)</f>
        <v>61848.74</v>
      </c>
    </row>
    <row r="273" spans="1:4" s="894" customFormat="1" x14ac:dyDescent="0.35">
      <c r="A273" s="325"/>
      <c r="B273" s="708"/>
      <c r="C273" s="325"/>
      <c r="D273" s="918"/>
    </row>
    <row r="274" spans="1:4" x14ac:dyDescent="0.35">
      <c r="A274" s="713" t="s">
        <v>759</v>
      </c>
      <c r="B274" s="714">
        <v>44712</v>
      </c>
      <c r="C274" s="713" t="s">
        <v>707</v>
      </c>
      <c r="D274" s="919">
        <v>4296501</v>
      </c>
    </row>
    <row r="275" spans="1:4" x14ac:dyDescent="0.35">
      <c r="A275" s="713" t="s">
        <v>759</v>
      </c>
      <c r="B275" s="714">
        <v>44712</v>
      </c>
      <c r="C275" s="713" t="s">
        <v>714</v>
      </c>
      <c r="D275" s="919">
        <v>1433047.9</v>
      </c>
    </row>
    <row r="276" spans="1:4" x14ac:dyDescent="0.35">
      <c r="A276" s="713" t="s">
        <v>759</v>
      </c>
      <c r="B276" s="714">
        <v>44712</v>
      </c>
      <c r="C276" s="713" t="s">
        <v>713</v>
      </c>
      <c r="D276" s="919">
        <v>40105.199999999997</v>
      </c>
    </row>
    <row r="277" spans="1:4" x14ac:dyDescent="0.35">
      <c r="A277" s="713" t="s">
        <v>759</v>
      </c>
      <c r="B277" s="714">
        <v>44712</v>
      </c>
      <c r="C277" s="713" t="s">
        <v>719</v>
      </c>
      <c r="D277" s="919">
        <v>104555.88</v>
      </c>
    </row>
    <row r="278" spans="1:4" x14ac:dyDescent="0.35">
      <c r="A278" s="713" t="s">
        <v>759</v>
      </c>
      <c r="B278" s="714">
        <v>44712</v>
      </c>
      <c r="C278" s="713" t="s">
        <v>712</v>
      </c>
      <c r="D278" s="919">
        <v>3773.7</v>
      </c>
    </row>
    <row r="279" spans="1:4" x14ac:dyDescent="0.35">
      <c r="A279" s="713" t="s">
        <v>759</v>
      </c>
      <c r="B279" s="714">
        <v>44712</v>
      </c>
      <c r="C279" s="713" t="s">
        <v>710</v>
      </c>
      <c r="D279" s="919">
        <v>1263.7</v>
      </c>
    </row>
    <row r="280" spans="1:4" x14ac:dyDescent="0.35">
      <c r="A280" s="713" t="s">
        <v>759</v>
      </c>
      <c r="B280" s="714">
        <v>44712</v>
      </c>
      <c r="C280" s="713" t="s">
        <v>709</v>
      </c>
      <c r="D280" s="919">
        <v>285857.56</v>
      </c>
    </row>
    <row r="281" spans="1:4" s="894" customFormat="1" x14ac:dyDescent="0.35">
      <c r="A281" s="713" t="s">
        <v>769</v>
      </c>
      <c r="B281" s="714"/>
      <c r="C281" s="713"/>
      <c r="D281" s="919">
        <f>SUM(D274:D280)</f>
        <v>6165104.9400000004</v>
      </c>
    </row>
    <row r="282" spans="1:4" s="894" customFormat="1" x14ac:dyDescent="0.35">
      <c r="A282" s="325"/>
      <c r="B282" s="708"/>
      <c r="C282" s="325"/>
      <c r="D282" s="918"/>
    </row>
    <row r="283" spans="1:4" x14ac:dyDescent="0.35">
      <c r="A283" s="713" t="s">
        <v>761</v>
      </c>
      <c r="B283" s="714">
        <v>44712</v>
      </c>
      <c r="C283" s="713" t="s">
        <v>707</v>
      </c>
      <c r="D283" s="919">
        <v>8749</v>
      </c>
    </row>
    <row r="284" spans="1:4" s="894" customFormat="1" x14ac:dyDescent="0.35">
      <c r="A284" s="713" t="s">
        <v>769</v>
      </c>
      <c r="B284" s="714"/>
      <c r="C284" s="713"/>
      <c r="D284" s="919">
        <f>SUM(D283)</f>
        <v>8749</v>
      </c>
    </row>
    <row r="285" spans="1:4" s="894" customFormat="1" x14ac:dyDescent="0.35">
      <c r="A285" s="325"/>
      <c r="B285" s="708"/>
      <c r="C285" s="325"/>
      <c r="D285" s="918"/>
    </row>
    <row r="286" spans="1:4" x14ac:dyDescent="0.35">
      <c r="A286" s="713" t="s">
        <v>762</v>
      </c>
      <c r="B286" s="714">
        <v>44712</v>
      </c>
      <c r="C286" s="713" t="s">
        <v>707</v>
      </c>
      <c r="D286" s="919">
        <v>7752</v>
      </c>
    </row>
    <row r="287" spans="1:4" s="894" customFormat="1" x14ac:dyDescent="0.35">
      <c r="A287" s="713" t="s">
        <v>769</v>
      </c>
      <c r="B287" s="714"/>
      <c r="C287" s="713"/>
      <c r="D287" s="919">
        <f>SUM(D286)</f>
        <v>7752</v>
      </c>
    </row>
    <row r="288" spans="1:4" s="894" customFormat="1" x14ac:dyDescent="0.35">
      <c r="A288" s="325"/>
      <c r="B288" s="708"/>
      <c r="C288" s="325"/>
      <c r="D288" s="918"/>
    </row>
    <row r="289" spans="1:4" x14ac:dyDescent="0.35">
      <c r="A289" s="713" t="s">
        <v>763</v>
      </c>
      <c r="B289" s="714">
        <v>44712</v>
      </c>
      <c r="C289" s="713" t="s">
        <v>714</v>
      </c>
      <c r="D289" s="919">
        <v>22861.8</v>
      </c>
    </row>
    <row r="290" spans="1:4" x14ac:dyDescent="0.35">
      <c r="A290" s="713" t="s">
        <v>763</v>
      </c>
      <c r="B290" s="714">
        <v>44712</v>
      </c>
      <c r="C290" s="713" t="s">
        <v>724</v>
      </c>
      <c r="D290" s="919">
        <v>411.01</v>
      </c>
    </row>
    <row r="291" spans="1:4" x14ac:dyDescent="0.35">
      <c r="A291" s="713" t="s">
        <v>763</v>
      </c>
      <c r="B291" s="714">
        <v>44712</v>
      </c>
      <c r="C291" s="713" t="s">
        <v>709</v>
      </c>
      <c r="D291" s="919">
        <v>7847.87</v>
      </c>
    </row>
    <row r="292" spans="1:4" x14ac:dyDescent="0.35">
      <c r="A292" s="713" t="s">
        <v>763</v>
      </c>
      <c r="B292" s="714">
        <v>44712</v>
      </c>
      <c r="C292" s="713" t="s">
        <v>713</v>
      </c>
      <c r="D292" s="919">
        <v>340</v>
      </c>
    </row>
    <row r="293" spans="1:4" x14ac:dyDescent="0.35">
      <c r="A293" s="713" t="s">
        <v>763</v>
      </c>
      <c r="B293" s="714">
        <v>44712</v>
      </c>
      <c r="C293" s="713" t="s">
        <v>707</v>
      </c>
      <c r="D293" s="919">
        <v>164185</v>
      </c>
    </row>
    <row r="294" spans="1:4" s="894" customFormat="1" x14ac:dyDescent="0.35">
      <c r="A294" s="713" t="s">
        <v>769</v>
      </c>
      <c r="B294" s="714"/>
      <c r="C294" s="713"/>
      <c r="D294" s="919">
        <f>SUM(D289:D293)</f>
        <v>195645.68</v>
      </c>
    </row>
    <row r="295" spans="1:4" s="894" customFormat="1" x14ac:dyDescent="0.35">
      <c r="A295" s="325"/>
      <c r="B295" s="708"/>
      <c r="C295" s="325"/>
      <c r="D295" s="918"/>
    </row>
    <row r="296" spans="1:4" x14ac:dyDescent="0.35">
      <c r="A296" s="713" t="s">
        <v>764</v>
      </c>
      <c r="B296" s="714">
        <v>44712</v>
      </c>
      <c r="C296" s="713" t="s">
        <v>714</v>
      </c>
      <c r="D296" s="919">
        <v>2137.8000000000002</v>
      </c>
    </row>
    <row r="297" spans="1:4" x14ac:dyDescent="0.35">
      <c r="A297" s="713" t="s">
        <v>764</v>
      </c>
      <c r="B297" s="714">
        <v>44712</v>
      </c>
      <c r="C297" s="713" t="s">
        <v>713</v>
      </c>
      <c r="D297" s="919">
        <v>42.5</v>
      </c>
    </row>
    <row r="298" spans="1:4" x14ac:dyDescent="0.35">
      <c r="A298" s="713" t="s">
        <v>764</v>
      </c>
      <c r="B298" s="714">
        <v>44712</v>
      </c>
      <c r="C298" s="713" t="s">
        <v>707</v>
      </c>
      <c r="D298" s="919">
        <v>7947</v>
      </c>
    </row>
    <row r="299" spans="1:4" s="894" customFormat="1" x14ac:dyDescent="0.35">
      <c r="A299" s="713" t="s">
        <v>769</v>
      </c>
      <c r="B299" s="714"/>
      <c r="C299" s="713"/>
      <c r="D299" s="919">
        <f>SUM(D296:D298)</f>
        <v>10127.299999999999</v>
      </c>
    </row>
    <row r="300" spans="1:4" s="894" customFormat="1" x14ac:dyDescent="0.35">
      <c r="A300" s="325"/>
      <c r="B300" s="708"/>
      <c r="C300" s="325"/>
      <c r="D300" s="918"/>
    </row>
    <row r="301" spans="1:4" x14ac:dyDescent="0.35">
      <c r="A301" s="713" t="s">
        <v>765</v>
      </c>
      <c r="B301" s="714">
        <v>44712</v>
      </c>
      <c r="C301" s="713" t="s">
        <v>709</v>
      </c>
      <c r="D301" s="919">
        <v>53869.43</v>
      </c>
    </row>
    <row r="302" spans="1:4" x14ac:dyDescent="0.35">
      <c r="A302" s="713" t="s">
        <v>765</v>
      </c>
      <c r="B302" s="714">
        <v>44712</v>
      </c>
      <c r="C302" s="713" t="s">
        <v>707</v>
      </c>
      <c r="D302" s="919">
        <v>445080</v>
      </c>
    </row>
    <row r="303" spans="1:4" x14ac:dyDescent="0.35">
      <c r="A303" s="713" t="s">
        <v>765</v>
      </c>
      <c r="B303" s="714">
        <v>44712</v>
      </c>
      <c r="C303" s="713" t="s">
        <v>719</v>
      </c>
      <c r="D303" s="919">
        <v>11905.85</v>
      </c>
    </row>
    <row r="304" spans="1:4" x14ac:dyDescent="0.35">
      <c r="A304" s="713" t="s">
        <v>765</v>
      </c>
      <c r="B304" s="714">
        <v>44712</v>
      </c>
      <c r="C304" s="713" t="s">
        <v>713</v>
      </c>
      <c r="D304" s="919">
        <v>12745</v>
      </c>
    </row>
    <row r="305" spans="1:4" x14ac:dyDescent="0.35">
      <c r="A305" s="713" t="s">
        <v>765</v>
      </c>
      <c r="B305" s="714">
        <v>44712</v>
      </c>
      <c r="C305" s="713" t="s">
        <v>712</v>
      </c>
      <c r="D305" s="919">
        <v>1385</v>
      </c>
    </row>
    <row r="306" spans="1:4" x14ac:dyDescent="0.35">
      <c r="A306" s="713" t="s">
        <v>765</v>
      </c>
      <c r="B306" s="714">
        <v>44712</v>
      </c>
      <c r="C306" s="713" t="s">
        <v>714</v>
      </c>
      <c r="D306" s="919">
        <v>190398.5</v>
      </c>
    </row>
    <row r="307" spans="1:4" s="894" customFormat="1" x14ac:dyDescent="0.35">
      <c r="A307" s="713" t="s">
        <v>769</v>
      </c>
      <c r="B307" s="714"/>
      <c r="C307" s="713"/>
      <c r="D307" s="919">
        <f>SUM(D301:D306)</f>
        <v>715383.78</v>
      </c>
    </row>
    <row r="308" spans="1:4" s="894" customFormat="1" x14ac:dyDescent="0.35">
      <c r="A308" s="325"/>
      <c r="B308" s="708"/>
      <c r="C308" s="325"/>
      <c r="D308" s="918"/>
    </row>
    <row r="309" spans="1:4" x14ac:dyDescent="0.35">
      <c r="A309" s="713" t="s">
        <v>766</v>
      </c>
      <c r="B309" s="714">
        <v>44712</v>
      </c>
      <c r="C309" s="713" t="s">
        <v>713</v>
      </c>
      <c r="D309" s="919">
        <v>8613.5</v>
      </c>
    </row>
    <row r="310" spans="1:4" x14ac:dyDescent="0.35">
      <c r="A310" s="713" t="s">
        <v>766</v>
      </c>
      <c r="B310" s="714">
        <v>44712</v>
      </c>
      <c r="C310" s="713" t="s">
        <v>709</v>
      </c>
      <c r="D310" s="919">
        <v>7935.58</v>
      </c>
    </row>
    <row r="311" spans="1:4" x14ac:dyDescent="0.35">
      <c r="A311" s="713" t="s">
        <v>766</v>
      </c>
      <c r="B311" s="714">
        <v>44712</v>
      </c>
      <c r="C311" s="713" t="s">
        <v>712</v>
      </c>
      <c r="D311" s="919">
        <v>110</v>
      </c>
    </row>
    <row r="312" spans="1:4" x14ac:dyDescent="0.35">
      <c r="A312" s="713" t="s">
        <v>766</v>
      </c>
      <c r="B312" s="714">
        <v>44712</v>
      </c>
      <c r="C312" s="713" t="s">
        <v>707</v>
      </c>
      <c r="D312" s="919">
        <v>357766</v>
      </c>
    </row>
    <row r="313" spans="1:4" x14ac:dyDescent="0.35">
      <c r="A313" s="713" t="s">
        <v>766</v>
      </c>
      <c r="B313" s="714">
        <v>44712</v>
      </c>
      <c r="C313" s="713" t="s">
        <v>714</v>
      </c>
      <c r="D313" s="919">
        <v>126693.9</v>
      </c>
    </row>
    <row r="314" spans="1:4" s="894" customFormat="1" x14ac:dyDescent="0.35">
      <c r="A314" s="713" t="s">
        <v>769</v>
      </c>
      <c r="B314" s="714"/>
      <c r="C314" s="713"/>
      <c r="D314" s="919">
        <f>SUM(D309:D313)</f>
        <v>501118.98</v>
      </c>
    </row>
    <row r="315" spans="1:4" s="894" customFormat="1" x14ac:dyDescent="0.35">
      <c r="A315" s="325"/>
      <c r="B315" s="708"/>
      <c r="C315" s="325"/>
      <c r="D315" s="918"/>
    </row>
    <row r="316" spans="1:4" x14ac:dyDescent="0.35">
      <c r="A316" s="713" t="s">
        <v>767</v>
      </c>
      <c r="B316" s="714">
        <v>44712</v>
      </c>
      <c r="C316" s="713" t="s">
        <v>707</v>
      </c>
      <c r="D316" s="919">
        <v>21858</v>
      </c>
    </row>
    <row r="317" spans="1:4" x14ac:dyDescent="0.35">
      <c r="A317" s="713" t="s">
        <v>767</v>
      </c>
      <c r="B317" s="714">
        <v>44712</v>
      </c>
      <c r="C317" s="713" t="s">
        <v>709</v>
      </c>
      <c r="D317" s="919">
        <v>18615.490000000002</v>
      </c>
    </row>
    <row r="318" spans="1:4" s="894" customFormat="1" x14ac:dyDescent="0.35">
      <c r="A318" s="713" t="s">
        <v>769</v>
      </c>
      <c r="B318" s="714"/>
      <c r="C318" s="713"/>
      <c r="D318" s="919">
        <f>SUM(D316:D317)</f>
        <v>40473.490000000005</v>
      </c>
    </row>
    <row r="319" spans="1:4" s="894" customFormat="1" x14ac:dyDescent="0.35">
      <c r="A319" s="325"/>
      <c r="B319" s="708"/>
      <c r="C319" s="325"/>
      <c r="D319" s="918"/>
    </row>
    <row r="320" spans="1:4" x14ac:dyDescent="0.35">
      <c r="A320" s="713" t="s">
        <v>771</v>
      </c>
      <c r="B320" s="714">
        <v>44712</v>
      </c>
      <c r="C320" s="713" t="s">
        <v>719</v>
      </c>
      <c r="D320" s="919">
        <v>3646.15</v>
      </c>
    </row>
    <row r="321" spans="1:6" s="894" customFormat="1" x14ac:dyDescent="0.35">
      <c r="A321" s="713" t="s">
        <v>769</v>
      </c>
      <c r="B321" s="714"/>
      <c r="C321" s="713"/>
      <c r="D321" s="919">
        <f>SUM(D320)</f>
        <v>3646.15</v>
      </c>
    </row>
    <row r="322" spans="1:6" s="894" customFormat="1" x14ac:dyDescent="0.35">
      <c r="A322" s="713"/>
      <c r="B322" s="714"/>
      <c r="C322" s="713"/>
      <c r="D322" s="919"/>
    </row>
    <row r="323" spans="1:6" x14ac:dyDescent="0.35">
      <c r="A323" s="713" t="s">
        <v>768</v>
      </c>
      <c r="B323" s="714">
        <v>44712</v>
      </c>
      <c r="C323" s="713" t="s">
        <v>713</v>
      </c>
      <c r="D323" s="919">
        <v>1366</v>
      </c>
    </row>
    <row r="324" spans="1:6" x14ac:dyDescent="0.35">
      <c r="A324" s="713" t="s">
        <v>768</v>
      </c>
      <c r="B324" s="714">
        <v>44712</v>
      </c>
      <c r="C324" s="713" t="s">
        <v>707</v>
      </c>
      <c r="D324" s="919">
        <v>169204</v>
      </c>
    </row>
    <row r="325" spans="1:6" x14ac:dyDescent="0.35">
      <c r="A325" s="713" t="s">
        <v>768</v>
      </c>
      <c r="B325" s="714">
        <v>44712</v>
      </c>
      <c r="C325" s="713" t="s">
        <v>719</v>
      </c>
      <c r="D325" s="919">
        <v>12469.07</v>
      </c>
    </row>
    <row r="326" spans="1:6" x14ac:dyDescent="0.35">
      <c r="A326" s="713" t="s">
        <v>768</v>
      </c>
      <c r="B326" s="714">
        <v>44712</v>
      </c>
      <c r="C326" s="713" t="s">
        <v>714</v>
      </c>
      <c r="D326" s="919">
        <v>102216.7</v>
      </c>
    </row>
    <row r="327" spans="1:6" s="894" customFormat="1" x14ac:dyDescent="0.35">
      <c r="A327" s="713" t="s">
        <v>769</v>
      </c>
      <c r="B327" s="714"/>
      <c r="C327" s="713"/>
      <c r="D327" s="919">
        <f>SUM(D323:D326)</f>
        <v>285255.77</v>
      </c>
    </row>
    <row r="328" spans="1:6" x14ac:dyDescent="0.35">
      <c r="A328" s="325" t="s">
        <v>665</v>
      </c>
      <c r="B328" s="325"/>
      <c r="C328" s="325"/>
      <c r="D328" s="918">
        <f>SUM(D2:D327)/2</f>
        <v>92194926.559999987</v>
      </c>
      <c r="F328" s="327"/>
    </row>
  </sheetData>
  <sortState xmlns:xlrd2="http://schemas.microsoft.com/office/spreadsheetml/2017/richdata2" ref="A2:D326">
    <sortCondition ref="A1:A326"/>
  </sortState>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07296-B6CF-430F-8582-9FE361CD5CCF}">
  <dimension ref="A1:M62"/>
  <sheetViews>
    <sheetView workbookViewId="0">
      <selection activeCell="I24" sqref="I24"/>
    </sheetView>
  </sheetViews>
  <sheetFormatPr defaultRowHeight="14.5" x14ac:dyDescent="0.35"/>
  <cols>
    <col min="8" max="8" width="19.54296875" customWidth="1"/>
    <col min="10" max="10" width="13.453125" style="879" customWidth="1"/>
    <col min="11" max="11" width="24.36328125" customWidth="1"/>
    <col min="13" max="13" width="25.453125" customWidth="1"/>
  </cols>
  <sheetData>
    <row r="1" spans="1:13" s="894" customFormat="1" x14ac:dyDescent="0.35">
      <c r="J1" s="879"/>
    </row>
    <row r="2" spans="1:13" x14ac:dyDescent="0.35">
      <c r="A2" s="899" t="s">
        <v>778</v>
      </c>
      <c r="B2" s="899" t="s">
        <v>779</v>
      </c>
      <c r="C2" s="899" t="s">
        <v>780</v>
      </c>
      <c r="D2" s="899" t="s">
        <v>781</v>
      </c>
      <c r="E2" s="899" t="s">
        <v>782</v>
      </c>
      <c r="F2" s="899" t="s">
        <v>783</v>
      </c>
      <c r="G2" s="899" t="s">
        <v>784</v>
      </c>
      <c r="H2" s="899" t="s">
        <v>785</v>
      </c>
      <c r="I2" s="899" t="s">
        <v>786</v>
      </c>
      <c r="J2" s="911"/>
      <c r="K2" s="899" t="s">
        <v>787</v>
      </c>
      <c r="L2" s="899" t="s">
        <v>788</v>
      </c>
      <c r="M2" s="899" t="s">
        <v>596</v>
      </c>
    </row>
    <row r="3" spans="1:13" x14ac:dyDescent="0.35">
      <c r="A3" s="900"/>
      <c r="B3" s="901" t="s">
        <v>1041</v>
      </c>
      <c r="C3" s="901" t="s">
        <v>1042</v>
      </c>
      <c r="D3" s="901" t="s">
        <v>791</v>
      </c>
      <c r="E3" s="901" t="s">
        <v>792</v>
      </c>
      <c r="F3" s="902">
        <v>44704</v>
      </c>
      <c r="G3" s="901" t="s">
        <v>793</v>
      </c>
      <c r="H3" s="903">
        <v>660762.29</v>
      </c>
      <c r="I3" s="901" t="s">
        <v>606</v>
      </c>
      <c r="J3" s="912" t="s">
        <v>556</v>
      </c>
      <c r="K3" s="901" t="s">
        <v>1155</v>
      </c>
      <c r="L3" s="901"/>
      <c r="M3" s="901" t="s">
        <v>1043</v>
      </c>
    </row>
    <row r="4" spans="1:13" x14ac:dyDescent="0.35">
      <c r="A4" s="900"/>
      <c r="B4" s="901" t="s">
        <v>1041</v>
      </c>
      <c r="C4" s="901" t="s">
        <v>1044</v>
      </c>
      <c r="D4" s="901" t="s">
        <v>791</v>
      </c>
      <c r="E4" s="901" t="s">
        <v>792</v>
      </c>
      <c r="F4" s="902">
        <v>44704</v>
      </c>
      <c r="G4" s="901" t="s">
        <v>793</v>
      </c>
      <c r="H4" s="903">
        <v>65260.39</v>
      </c>
      <c r="I4" s="901" t="s">
        <v>606</v>
      </c>
      <c r="J4" s="912">
        <v>1400000</v>
      </c>
      <c r="K4" s="901" t="s">
        <v>1155</v>
      </c>
      <c r="L4" s="901"/>
      <c r="M4" s="901" t="s">
        <v>1045</v>
      </c>
    </row>
    <row r="5" spans="1:13" x14ac:dyDescent="0.35">
      <c r="A5" s="900"/>
      <c r="B5" s="901" t="s">
        <v>1041</v>
      </c>
      <c r="C5" s="901" t="s">
        <v>1046</v>
      </c>
      <c r="D5" s="901" t="s">
        <v>791</v>
      </c>
      <c r="E5" s="901" t="s">
        <v>792</v>
      </c>
      <c r="F5" s="902">
        <v>44704</v>
      </c>
      <c r="G5" s="901" t="s">
        <v>793</v>
      </c>
      <c r="H5" s="903">
        <v>275268.7</v>
      </c>
      <c r="I5" s="901" t="s">
        <v>606</v>
      </c>
      <c r="J5" s="912" t="s">
        <v>615</v>
      </c>
      <c r="K5" s="901" t="s">
        <v>1156</v>
      </c>
      <c r="L5" s="901"/>
      <c r="M5" s="901" t="s">
        <v>1047</v>
      </c>
    </row>
    <row r="6" spans="1:13" x14ac:dyDescent="0.35">
      <c r="A6" s="900"/>
      <c r="B6" s="901" t="s">
        <v>1041</v>
      </c>
      <c r="C6" s="901" t="s">
        <v>1048</v>
      </c>
      <c r="D6" s="901" t="s">
        <v>791</v>
      </c>
      <c r="E6" s="901" t="s">
        <v>792</v>
      </c>
      <c r="F6" s="902">
        <v>44704</v>
      </c>
      <c r="G6" s="901" t="s">
        <v>793</v>
      </c>
      <c r="H6" s="903">
        <v>48298</v>
      </c>
      <c r="I6" s="901" t="s">
        <v>606</v>
      </c>
      <c r="J6" s="912" t="s">
        <v>628</v>
      </c>
      <c r="K6" s="901" t="s">
        <v>1157</v>
      </c>
      <c r="L6" s="901"/>
      <c r="M6" s="901" t="s">
        <v>1049</v>
      </c>
    </row>
    <row r="7" spans="1:13" x14ac:dyDescent="0.35">
      <c r="A7" s="900"/>
      <c r="B7" s="901" t="s">
        <v>1041</v>
      </c>
      <c r="C7" s="901" t="s">
        <v>1050</v>
      </c>
      <c r="D7" s="901" t="s">
        <v>791</v>
      </c>
      <c r="E7" s="901" t="s">
        <v>792</v>
      </c>
      <c r="F7" s="902">
        <v>44704</v>
      </c>
      <c r="G7" s="901" t="s">
        <v>793</v>
      </c>
      <c r="H7" s="903">
        <v>733682.91</v>
      </c>
      <c r="I7" s="901" t="s">
        <v>606</v>
      </c>
      <c r="J7" s="912" t="s">
        <v>543</v>
      </c>
      <c r="K7" s="901" t="s">
        <v>1158</v>
      </c>
      <c r="L7" s="901"/>
      <c r="M7" s="901" t="s">
        <v>1051</v>
      </c>
    </row>
    <row r="8" spans="1:13" x14ac:dyDescent="0.35">
      <c r="A8" s="900"/>
      <c r="B8" s="901" t="s">
        <v>1041</v>
      </c>
      <c r="C8" s="901" t="s">
        <v>1052</v>
      </c>
      <c r="D8" s="901" t="s">
        <v>791</v>
      </c>
      <c r="E8" s="901" t="s">
        <v>792</v>
      </c>
      <c r="F8" s="902">
        <v>44704</v>
      </c>
      <c r="G8" s="901" t="s">
        <v>793</v>
      </c>
      <c r="H8" s="903">
        <v>1040.42</v>
      </c>
      <c r="I8" s="901" t="s">
        <v>606</v>
      </c>
      <c r="J8" s="912" t="s">
        <v>657</v>
      </c>
      <c r="K8" s="901" t="s">
        <v>1159</v>
      </c>
      <c r="L8" s="901"/>
      <c r="M8" s="901" t="s">
        <v>1053</v>
      </c>
    </row>
    <row r="9" spans="1:13" x14ac:dyDescent="0.35">
      <c r="A9" s="900"/>
      <c r="B9" s="901" t="s">
        <v>1041</v>
      </c>
      <c r="C9" s="901" t="s">
        <v>1054</v>
      </c>
      <c r="D9" s="901" t="s">
        <v>791</v>
      </c>
      <c r="E9" s="901" t="s">
        <v>792</v>
      </c>
      <c r="F9" s="902">
        <v>44704</v>
      </c>
      <c r="G9" s="901" t="s">
        <v>793</v>
      </c>
      <c r="H9" s="903">
        <v>19806245.23</v>
      </c>
      <c r="I9" s="901" t="s">
        <v>606</v>
      </c>
      <c r="J9" s="912" t="s">
        <v>545</v>
      </c>
      <c r="K9" s="901" t="s">
        <v>1159</v>
      </c>
      <c r="L9" s="901"/>
      <c r="M9" s="901" t="s">
        <v>1055</v>
      </c>
    </row>
    <row r="10" spans="1:13" x14ac:dyDescent="0.35">
      <c r="A10" s="900"/>
      <c r="B10" s="901" t="s">
        <v>1041</v>
      </c>
      <c r="C10" s="901" t="s">
        <v>1056</v>
      </c>
      <c r="D10" s="901" t="s">
        <v>791</v>
      </c>
      <c r="E10" s="901" t="s">
        <v>792</v>
      </c>
      <c r="F10" s="902">
        <v>44704</v>
      </c>
      <c r="G10" s="901" t="s">
        <v>793</v>
      </c>
      <c r="H10" s="903">
        <v>1965747.76</v>
      </c>
      <c r="I10" s="901" t="s">
        <v>606</v>
      </c>
      <c r="J10" s="912" t="s">
        <v>542</v>
      </c>
      <c r="K10" s="901" t="s">
        <v>1159</v>
      </c>
      <c r="L10" s="901"/>
      <c r="M10" s="901" t="s">
        <v>1057</v>
      </c>
    </row>
    <row r="11" spans="1:13" x14ac:dyDescent="0.35">
      <c r="A11" s="900"/>
      <c r="B11" s="901" t="s">
        <v>1041</v>
      </c>
      <c r="C11" s="901" t="s">
        <v>1058</v>
      </c>
      <c r="D11" s="901" t="s">
        <v>791</v>
      </c>
      <c r="E11" s="901" t="s">
        <v>792</v>
      </c>
      <c r="F11" s="902">
        <v>44704</v>
      </c>
      <c r="G11" s="901" t="s">
        <v>793</v>
      </c>
      <c r="H11" s="903">
        <v>327466.56</v>
      </c>
      <c r="I11" s="901" t="s">
        <v>606</v>
      </c>
      <c r="J11" s="912">
        <v>700000</v>
      </c>
      <c r="K11" s="901" t="s">
        <v>1160</v>
      </c>
      <c r="L11" s="901"/>
      <c r="M11" s="901" t="s">
        <v>1059</v>
      </c>
    </row>
    <row r="12" spans="1:13" x14ac:dyDescent="0.35">
      <c r="A12" s="900"/>
      <c r="B12" s="901" t="s">
        <v>1041</v>
      </c>
      <c r="C12" s="901" t="s">
        <v>1060</v>
      </c>
      <c r="D12" s="901" t="s">
        <v>791</v>
      </c>
      <c r="E12" s="901" t="s">
        <v>792</v>
      </c>
      <c r="F12" s="902">
        <v>44704</v>
      </c>
      <c r="G12" s="901" t="s">
        <v>793</v>
      </c>
      <c r="H12" s="903">
        <v>1128140.76</v>
      </c>
      <c r="I12" s="901" t="s">
        <v>606</v>
      </c>
      <c r="J12" s="912">
        <v>2600000</v>
      </c>
      <c r="K12" s="901" t="s">
        <v>1160</v>
      </c>
      <c r="L12" s="901"/>
      <c r="M12" s="901" t="s">
        <v>1061</v>
      </c>
    </row>
    <row r="13" spans="1:13" x14ac:dyDescent="0.35">
      <c r="A13" s="900"/>
      <c r="B13" s="901" t="s">
        <v>1041</v>
      </c>
      <c r="C13" s="901" t="s">
        <v>1062</v>
      </c>
      <c r="D13" s="901" t="s">
        <v>791</v>
      </c>
      <c r="E13" s="901" t="s">
        <v>792</v>
      </c>
      <c r="F13" s="902">
        <v>44704</v>
      </c>
      <c r="G13" s="901" t="s">
        <v>793</v>
      </c>
      <c r="H13" s="903">
        <v>8694.5499999999993</v>
      </c>
      <c r="I13" s="901" t="s">
        <v>606</v>
      </c>
      <c r="J13" s="912" t="s">
        <v>554</v>
      </c>
      <c r="K13" s="901" t="s">
        <v>1161</v>
      </c>
      <c r="L13" s="901"/>
      <c r="M13" s="901" t="s">
        <v>1063</v>
      </c>
    </row>
    <row r="14" spans="1:13" x14ac:dyDescent="0.35">
      <c r="A14" s="900"/>
      <c r="B14" s="901" t="s">
        <v>1041</v>
      </c>
      <c r="C14" s="901" t="s">
        <v>1064</v>
      </c>
      <c r="D14" s="901" t="s">
        <v>791</v>
      </c>
      <c r="E14" s="901" t="s">
        <v>792</v>
      </c>
      <c r="F14" s="902">
        <v>44704</v>
      </c>
      <c r="G14" s="901" t="s">
        <v>793</v>
      </c>
      <c r="H14" s="903">
        <v>5931229.3600000003</v>
      </c>
      <c r="I14" s="901" t="s">
        <v>606</v>
      </c>
      <c r="J14" s="912" t="s">
        <v>618</v>
      </c>
      <c r="K14" s="901" t="s">
        <v>1161</v>
      </c>
      <c r="L14" s="901"/>
      <c r="M14" s="901" t="s">
        <v>1065</v>
      </c>
    </row>
    <row r="15" spans="1:13" x14ac:dyDescent="0.35">
      <c r="A15" s="900"/>
      <c r="B15" s="901" t="s">
        <v>1041</v>
      </c>
      <c r="C15" s="901" t="s">
        <v>1066</v>
      </c>
      <c r="D15" s="901" t="s">
        <v>791</v>
      </c>
      <c r="E15" s="901" t="s">
        <v>792</v>
      </c>
      <c r="F15" s="902">
        <v>44704</v>
      </c>
      <c r="G15" s="901" t="s">
        <v>793</v>
      </c>
      <c r="H15" s="903">
        <v>131016.37</v>
      </c>
      <c r="I15" s="901" t="s">
        <v>606</v>
      </c>
      <c r="J15" s="912">
        <v>2400000</v>
      </c>
      <c r="K15" s="901" t="s">
        <v>1162</v>
      </c>
      <c r="L15" s="901"/>
      <c r="M15" s="901" t="s">
        <v>1067</v>
      </c>
    </row>
    <row r="16" spans="1:13" x14ac:dyDescent="0.35">
      <c r="A16" s="900"/>
      <c r="B16" s="901" t="s">
        <v>1041</v>
      </c>
      <c r="C16" s="901" t="s">
        <v>1068</v>
      </c>
      <c r="D16" s="901" t="s">
        <v>791</v>
      </c>
      <c r="E16" s="901" t="s">
        <v>792</v>
      </c>
      <c r="F16" s="902">
        <v>44704</v>
      </c>
      <c r="G16" s="901" t="s">
        <v>793</v>
      </c>
      <c r="H16" s="903">
        <v>1762158</v>
      </c>
      <c r="I16" s="901" t="s">
        <v>606</v>
      </c>
      <c r="J16" s="912" t="s">
        <v>554</v>
      </c>
      <c r="K16" s="901" t="s">
        <v>1162</v>
      </c>
      <c r="L16" s="901"/>
      <c r="M16" s="901" t="s">
        <v>1069</v>
      </c>
    </row>
    <row r="17" spans="1:13" x14ac:dyDescent="0.35">
      <c r="A17" s="900"/>
      <c r="B17" s="901" t="s">
        <v>1041</v>
      </c>
      <c r="C17" s="901" t="s">
        <v>1070</v>
      </c>
      <c r="D17" s="901" t="s">
        <v>791</v>
      </c>
      <c r="E17" s="901" t="s">
        <v>792</v>
      </c>
      <c r="F17" s="902">
        <v>44704</v>
      </c>
      <c r="G17" s="901" t="s">
        <v>793</v>
      </c>
      <c r="H17" s="903">
        <v>28731.07</v>
      </c>
      <c r="I17" s="901" t="s">
        <v>606</v>
      </c>
      <c r="J17" s="912" t="s">
        <v>564</v>
      </c>
      <c r="K17" s="901" t="s">
        <v>1163</v>
      </c>
      <c r="L17" s="901"/>
      <c r="M17" s="901" t="s">
        <v>1071</v>
      </c>
    </row>
    <row r="18" spans="1:13" x14ac:dyDescent="0.35">
      <c r="A18" s="900"/>
      <c r="B18" s="901" t="s">
        <v>1041</v>
      </c>
      <c r="C18" s="901" t="s">
        <v>1072</v>
      </c>
      <c r="D18" s="901" t="s">
        <v>791</v>
      </c>
      <c r="E18" s="901" t="s">
        <v>792</v>
      </c>
      <c r="F18" s="902">
        <v>44704</v>
      </c>
      <c r="G18" s="901" t="s">
        <v>793</v>
      </c>
      <c r="H18" s="903">
        <v>1059401.32</v>
      </c>
      <c r="I18" s="901" t="s">
        <v>606</v>
      </c>
      <c r="J18" s="912" t="s">
        <v>562</v>
      </c>
      <c r="K18" s="901" t="s">
        <v>1163</v>
      </c>
      <c r="L18" s="901"/>
      <c r="M18" s="901" t="s">
        <v>1073</v>
      </c>
    </row>
    <row r="19" spans="1:13" x14ac:dyDescent="0.35">
      <c r="A19" s="900"/>
      <c r="B19" s="901" t="s">
        <v>1041</v>
      </c>
      <c r="C19" s="901" t="s">
        <v>1074</v>
      </c>
      <c r="D19" s="901" t="s">
        <v>791</v>
      </c>
      <c r="E19" s="901" t="s">
        <v>792</v>
      </c>
      <c r="F19" s="902">
        <v>44704</v>
      </c>
      <c r="G19" s="901" t="s">
        <v>793</v>
      </c>
      <c r="H19" s="903">
        <v>237747.77</v>
      </c>
      <c r="I19" s="901" t="s">
        <v>606</v>
      </c>
      <c r="J19" s="912" t="s">
        <v>561</v>
      </c>
      <c r="K19" s="901" t="s">
        <v>1164</v>
      </c>
      <c r="L19" s="901"/>
      <c r="M19" s="901" t="s">
        <v>1075</v>
      </c>
    </row>
    <row r="20" spans="1:13" x14ac:dyDescent="0.35">
      <c r="A20" s="900"/>
      <c r="B20" s="901" t="s">
        <v>1041</v>
      </c>
      <c r="C20" s="901" t="s">
        <v>1076</v>
      </c>
      <c r="D20" s="901" t="s">
        <v>791</v>
      </c>
      <c r="E20" s="901" t="s">
        <v>792</v>
      </c>
      <c r="F20" s="902">
        <v>44704</v>
      </c>
      <c r="G20" s="901" t="s">
        <v>793</v>
      </c>
      <c r="H20" s="903">
        <v>6063455.6699999999</v>
      </c>
      <c r="I20" s="901" t="s">
        <v>606</v>
      </c>
      <c r="J20" s="912">
        <v>4200000</v>
      </c>
      <c r="K20" s="901" t="s">
        <v>1165</v>
      </c>
      <c r="L20" s="901"/>
      <c r="M20" s="901" t="s">
        <v>1077</v>
      </c>
    </row>
    <row r="21" spans="1:13" x14ac:dyDescent="0.35">
      <c r="A21" s="900"/>
      <c r="B21" s="901" t="s">
        <v>1041</v>
      </c>
      <c r="C21" s="901" t="s">
        <v>1078</v>
      </c>
      <c r="D21" s="901" t="s">
        <v>791</v>
      </c>
      <c r="E21" s="901" t="s">
        <v>792</v>
      </c>
      <c r="F21" s="902">
        <v>44704</v>
      </c>
      <c r="G21" s="901" t="s">
        <v>793</v>
      </c>
      <c r="H21" s="903">
        <v>6435446.8799999999</v>
      </c>
      <c r="I21" s="901" t="s">
        <v>606</v>
      </c>
      <c r="J21" s="912">
        <v>4200000</v>
      </c>
      <c r="K21" s="901" t="s">
        <v>1166</v>
      </c>
      <c r="L21" s="901"/>
      <c r="M21" s="901" t="s">
        <v>1079</v>
      </c>
    </row>
    <row r="22" spans="1:13" x14ac:dyDescent="0.35">
      <c r="A22" s="900"/>
      <c r="B22" s="901" t="s">
        <v>1041</v>
      </c>
      <c r="C22" s="901" t="s">
        <v>1080</v>
      </c>
      <c r="D22" s="901" t="s">
        <v>791</v>
      </c>
      <c r="E22" s="901" t="s">
        <v>792</v>
      </c>
      <c r="F22" s="902">
        <v>44704</v>
      </c>
      <c r="G22" s="901" t="s">
        <v>793</v>
      </c>
      <c r="H22" s="903">
        <v>3399.27</v>
      </c>
      <c r="I22" s="901" t="s">
        <v>606</v>
      </c>
      <c r="J22" s="912" t="s">
        <v>634</v>
      </c>
      <c r="K22" s="901" t="s">
        <v>1158</v>
      </c>
      <c r="L22" s="915"/>
      <c r="M22" s="915" t="s">
        <v>1081</v>
      </c>
    </row>
    <row r="23" spans="1:13" x14ac:dyDescent="0.35">
      <c r="A23" s="900"/>
      <c r="B23" s="901" t="s">
        <v>1041</v>
      </c>
      <c r="C23" s="901" t="s">
        <v>1082</v>
      </c>
      <c r="D23" s="901" t="s">
        <v>791</v>
      </c>
      <c r="E23" s="901" t="s">
        <v>792</v>
      </c>
      <c r="F23" s="902">
        <v>44704</v>
      </c>
      <c r="G23" s="901" t="s">
        <v>793</v>
      </c>
      <c r="H23" s="903">
        <v>52785.35</v>
      </c>
      <c r="I23" s="901" t="s">
        <v>606</v>
      </c>
      <c r="J23" s="912" t="s">
        <v>554</v>
      </c>
      <c r="K23" s="901" t="s">
        <v>1162</v>
      </c>
      <c r="L23" s="901"/>
      <c r="M23" s="901" t="s">
        <v>1069</v>
      </c>
    </row>
    <row r="24" spans="1:13" x14ac:dyDescent="0.35">
      <c r="A24" s="900"/>
      <c r="B24" s="901" t="s">
        <v>1083</v>
      </c>
      <c r="C24" s="901" t="s">
        <v>1084</v>
      </c>
      <c r="D24" s="901" t="s">
        <v>791</v>
      </c>
      <c r="E24" s="901" t="s">
        <v>792</v>
      </c>
      <c r="F24" s="902">
        <v>44705</v>
      </c>
      <c r="G24" s="901" t="s">
        <v>793</v>
      </c>
      <c r="H24" s="903">
        <v>167959.99</v>
      </c>
      <c r="I24" s="901" t="s">
        <v>606</v>
      </c>
      <c r="J24" s="912">
        <v>1600000</v>
      </c>
      <c r="K24" s="901" t="s">
        <v>1155</v>
      </c>
      <c r="L24" s="901"/>
      <c r="M24" s="901" t="s">
        <v>1085</v>
      </c>
    </row>
    <row r="25" spans="1:13" x14ac:dyDescent="0.35">
      <c r="A25" s="900"/>
      <c r="B25" s="901" t="s">
        <v>1083</v>
      </c>
      <c r="C25" s="901" t="s">
        <v>1086</v>
      </c>
      <c r="D25" s="901" t="s">
        <v>791</v>
      </c>
      <c r="E25" s="901" t="s">
        <v>792</v>
      </c>
      <c r="F25" s="902">
        <v>44705</v>
      </c>
      <c r="G25" s="901" t="s">
        <v>793</v>
      </c>
      <c r="H25" s="903">
        <v>132193</v>
      </c>
      <c r="I25" s="901" t="s">
        <v>606</v>
      </c>
      <c r="J25" s="912">
        <v>1800000</v>
      </c>
      <c r="K25" s="901" t="s">
        <v>1155</v>
      </c>
      <c r="L25" s="901"/>
      <c r="M25" s="901" t="s">
        <v>1087</v>
      </c>
    </row>
    <row r="26" spans="1:13" x14ac:dyDescent="0.35">
      <c r="A26" s="900"/>
      <c r="B26" s="901" t="s">
        <v>1083</v>
      </c>
      <c r="C26" s="901" t="s">
        <v>1088</v>
      </c>
      <c r="D26" s="901" t="s">
        <v>791</v>
      </c>
      <c r="E26" s="901" t="s">
        <v>792</v>
      </c>
      <c r="F26" s="902">
        <v>44705</v>
      </c>
      <c r="G26" s="901" t="s">
        <v>793</v>
      </c>
      <c r="H26" s="903">
        <v>122152.51</v>
      </c>
      <c r="I26" s="901" t="s">
        <v>606</v>
      </c>
      <c r="J26" s="912">
        <v>4500000</v>
      </c>
      <c r="K26" s="901" t="s">
        <v>1167</v>
      </c>
      <c r="L26" s="901"/>
      <c r="M26" s="901" t="s">
        <v>1089</v>
      </c>
    </row>
    <row r="27" spans="1:13" x14ac:dyDescent="0.35">
      <c r="A27" s="900"/>
      <c r="B27" s="901" t="s">
        <v>1083</v>
      </c>
      <c r="C27" s="901" t="s">
        <v>1090</v>
      </c>
      <c r="D27" s="901" t="s">
        <v>791</v>
      </c>
      <c r="E27" s="901" t="s">
        <v>792</v>
      </c>
      <c r="F27" s="902">
        <v>44705</v>
      </c>
      <c r="G27" s="901" t="s">
        <v>793</v>
      </c>
      <c r="H27" s="903">
        <v>872003.99</v>
      </c>
      <c r="I27" s="901" t="s">
        <v>606</v>
      </c>
      <c r="J27" s="912">
        <v>4500000</v>
      </c>
      <c r="K27" s="901" t="s">
        <v>1166</v>
      </c>
      <c r="L27" s="901"/>
      <c r="M27" s="901" t="s">
        <v>1091</v>
      </c>
    </row>
    <row r="28" spans="1:13" x14ac:dyDescent="0.35">
      <c r="A28" s="900"/>
      <c r="B28" s="901" t="s">
        <v>1083</v>
      </c>
      <c r="C28" s="901" t="s">
        <v>1092</v>
      </c>
      <c r="D28" s="901" t="s">
        <v>791</v>
      </c>
      <c r="E28" s="901" t="s">
        <v>792</v>
      </c>
      <c r="F28" s="902">
        <v>44705</v>
      </c>
      <c r="G28" s="901" t="s">
        <v>793</v>
      </c>
      <c r="H28" s="903">
        <v>429684.97</v>
      </c>
      <c r="I28" s="901" t="s">
        <v>606</v>
      </c>
      <c r="J28" s="912" t="s">
        <v>554</v>
      </c>
      <c r="K28" s="901" t="s">
        <v>1158</v>
      </c>
      <c r="L28" s="901"/>
      <c r="M28" s="901" t="s">
        <v>1093</v>
      </c>
    </row>
    <row r="29" spans="1:13" x14ac:dyDescent="0.35">
      <c r="A29" s="900"/>
      <c r="B29" s="901" t="s">
        <v>1083</v>
      </c>
      <c r="C29" s="901" t="s">
        <v>1094</v>
      </c>
      <c r="D29" s="901" t="s">
        <v>791</v>
      </c>
      <c r="E29" s="901" t="s">
        <v>792</v>
      </c>
      <c r="F29" s="902">
        <v>44705</v>
      </c>
      <c r="G29" s="901" t="s">
        <v>793</v>
      </c>
      <c r="H29" s="903">
        <v>17104.23</v>
      </c>
      <c r="I29" s="901" t="s">
        <v>606</v>
      </c>
      <c r="J29" s="912">
        <v>4500000</v>
      </c>
      <c r="K29" s="901" t="s">
        <v>1161</v>
      </c>
      <c r="L29" s="901"/>
      <c r="M29" s="901" t="s">
        <v>1095</v>
      </c>
    </row>
    <row r="30" spans="1:13" x14ac:dyDescent="0.35">
      <c r="A30" s="900"/>
      <c r="B30" s="901" t="s">
        <v>1083</v>
      </c>
      <c r="C30" s="901" t="s">
        <v>1096</v>
      </c>
      <c r="D30" s="901" t="s">
        <v>791</v>
      </c>
      <c r="E30" s="901" t="s">
        <v>792</v>
      </c>
      <c r="F30" s="902">
        <v>44705</v>
      </c>
      <c r="G30" s="901" t="s">
        <v>793</v>
      </c>
      <c r="H30" s="903">
        <v>350160.38</v>
      </c>
      <c r="I30" s="901" t="s">
        <v>606</v>
      </c>
      <c r="J30" s="912">
        <v>4500000</v>
      </c>
      <c r="K30" s="901" t="s">
        <v>1168</v>
      </c>
      <c r="L30" s="901"/>
      <c r="M30" s="901" t="s">
        <v>1097</v>
      </c>
    </row>
    <row r="31" spans="1:13" x14ac:dyDescent="0.35">
      <c r="A31" s="900"/>
      <c r="B31" s="901" t="s">
        <v>1098</v>
      </c>
      <c r="C31" s="901" t="s">
        <v>1099</v>
      </c>
      <c r="D31" s="901" t="s">
        <v>791</v>
      </c>
      <c r="E31" s="901" t="s">
        <v>792</v>
      </c>
      <c r="F31" s="902">
        <v>44707</v>
      </c>
      <c r="G31" s="901" t="s">
        <v>793</v>
      </c>
      <c r="H31" s="903">
        <v>2558086.77</v>
      </c>
      <c r="I31" s="901" t="s">
        <v>606</v>
      </c>
      <c r="J31" s="912">
        <v>4500000</v>
      </c>
      <c r="K31" s="901" t="s">
        <v>1169</v>
      </c>
      <c r="L31" s="901"/>
      <c r="M31" s="901" t="s">
        <v>1100</v>
      </c>
    </row>
    <row r="32" spans="1:13" x14ac:dyDescent="0.35">
      <c r="A32" s="900"/>
      <c r="B32" s="901" t="s">
        <v>1098</v>
      </c>
      <c r="C32" s="901" t="s">
        <v>1101</v>
      </c>
      <c r="D32" s="901" t="s">
        <v>791</v>
      </c>
      <c r="E32" s="901" t="s">
        <v>792</v>
      </c>
      <c r="F32" s="902">
        <v>44707</v>
      </c>
      <c r="G32" s="901" t="s">
        <v>793</v>
      </c>
      <c r="H32" s="903">
        <v>1490995.08</v>
      </c>
      <c r="I32" s="901" t="s">
        <v>606</v>
      </c>
      <c r="J32" s="912">
        <v>4500000</v>
      </c>
      <c r="K32" s="901" t="s">
        <v>1165</v>
      </c>
      <c r="L32" s="901"/>
      <c r="M32" s="901" t="s">
        <v>1102</v>
      </c>
    </row>
    <row r="33" spans="1:13" x14ac:dyDescent="0.35">
      <c r="A33" s="900"/>
      <c r="B33" s="901" t="s">
        <v>1098</v>
      </c>
      <c r="C33" s="901" t="s">
        <v>1103</v>
      </c>
      <c r="D33" s="901" t="s">
        <v>791</v>
      </c>
      <c r="E33" s="901" t="s">
        <v>792</v>
      </c>
      <c r="F33" s="902">
        <v>44707</v>
      </c>
      <c r="G33" s="901" t="s">
        <v>793</v>
      </c>
      <c r="H33" s="903">
        <v>1099518.68</v>
      </c>
      <c r="I33" s="901" t="s">
        <v>606</v>
      </c>
      <c r="J33" s="912">
        <v>4500000</v>
      </c>
      <c r="K33" s="901" t="s">
        <v>1155</v>
      </c>
      <c r="L33" s="901"/>
      <c r="M33" s="901" t="s">
        <v>1104</v>
      </c>
    </row>
    <row r="34" spans="1:13" x14ac:dyDescent="0.35">
      <c r="A34" s="900"/>
      <c r="B34" s="901" t="s">
        <v>1098</v>
      </c>
      <c r="C34" s="901" t="s">
        <v>1105</v>
      </c>
      <c r="D34" s="901" t="s">
        <v>791</v>
      </c>
      <c r="E34" s="901" t="s">
        <v>792</v>
      </c>
      <c r="F34" s="902">
        <v>44707</v>
      </c>
      <c r="G34" s="901" t="s">
        <v>793</v>
      </c>
      <c r="H34" s="903">
        <v>1778580.69</v>
      </c>
      <c r="I34" s="901" t="s">
        <v>606</v>
      </c>
      <c r="J34" s="912" t="s">
        <v>611</v>
      </c>
      <c r="K34" s="901" t="s">
        <v>1158</v>
      </c>
      <c r="L34" s="901"/>
      <c r="M34" s="901" t="s">
        <v>1106</v>
      </c>
    </row>
    <row r="35" spans="1:13" x14ac:dyDescent="0.35">
      <c r="A35" s="900"/>
      <c r="B35" s="901" t="s">
        <v>1107</v>
      </c>
      <c r="C35" s="901" t="s">
        <v>1108</v>
      </c>
      <c r="D35" s="901" t="s">
        <v>791</v>
      </c>
      <c r="E35" s="901" t="s">
        <v>792</v>
      </c>
      <c r="F35" s="902">
        <v>44711</v>
      </c>
      <c r="G35" s="901" t="s">
        <v>793</v>
      </c>
      <c r="H35" s="903">
        <v>484568.19999999995</v>
      </c>
      <c r="I35" s="901" t="s">
        <v>606</v>
      </c>
      <c r="J35" s="912">
        <v>7800000</v>
      </c>
      <c r="K35" s="901" t="s">
        <v>1170</v>
      </c>
      <c r="L35" s="901"/>
      <c r="M35" s="901" t="s">
        <v>1109</v>
      </c>
    </row>
    <row r="36" spans="1:13" s="894" customFormat="1" x14ac:dyDescent="0.35">
      <c r="A36" s="900"/>
      <c r="B36" s="901" t="s">
        <v>1107</v>
      </c>
      <c r="C36" s="901" t="s">
        <v>1108</v>
      </c>
      <c r="D36" s="901" t="s">
        <v>791</v>
      </c>
      <c r="E36" s="901" t="s">
        <v>792</v>
      </c>
      <c r="F36" s="902">
        <v>44711</v>
      </c>
      <c r="G36" s="901" t="s">
        <v>793</v>
      </c>
      <c r="H36" s="903">
        <v>11694.1</v>
      </c>
      <c r="I36" s="901"/>
      <c r="J36" s="912">
        <v>600000</v>
      </c>
      <c r="K36" s="901" t="s">
        <v>1170</v>
      </c>
      <c r="L36" s="901"/>
      <c r="M36" s="901"/>
    </row>
    <row r="37" spans="1:13" x14ac:dyDescent="0.35">
      <c r="A37" s="900"/>
      <c r="B37" s="901" t="s">
        <v>1107</v>
      </c>
      <c r="C37" s="901" t="s">
        <v>1110</v>
      </c>
      <c r="D37" s="901" t="s">
        <v>791</v>
      </c>
      <c r="E37" s="901" t="s">
        <v>792</v>
      </c>
      <c r="F37" s="902">
        <v>44711</v>
      </c>
      <c r="G37" s="901" t="s">
        <v>793</v>
      </c>
      <c r="H37" s="903">
        <v>745658.36</v>
      </c>
      <c r="I37" s="901" t="s">
        <v>606</v>
      </c>
      <c r="J37" s="912" t="s">
        <v>543</v>
      </c>
      <c r="K37" s="901" t="s">
        <v>1170</v>
      </c>
      <c r="L37" s="901"/>
      <c r="M37" s="901" t="s">
        <v>1111</v>
      </c>
    </row>
    <row r="38" spans="1:13" x14ac:dyDescent="0.35">
      <c r="A38" s="900"/>
      <c r="B38" s="901" t="s">
        <v>1107</v>
      </c>
      <c r="C38" s="901" t="s">
        <v>1112</v>
      </c>
      <c r="D38" s="901" t="s">
        <v>791</v>
      </c>
      <c r="E38" s="901" t="s">
        <v>792</v>
      </c>
      <c r="F38" s="902">
        <v>44711</v>
      </c>
      <c r="G38" s="901" t="s">
        <v>793</v>
      </c>
      <c r="H38" s="903">
        <v>949879.39</v>
      </c>
      <c r="I38" s="901" t="s">
        <v>606</v>
      </c>
      <c r="J38" s="912" t="s">
        <v>542</v>
      </c>
      <c r="K38" s="901" t="s">
        <v>1170</v>
      </c>
      <c r="L38" s="901"/>
      <c r="M38" s="901" t="s">
        <v>1113</v>
      </c>
    </row>
    <row r="39" spans="1:13" x14ac:dyDescent="0.35">
      <c r="A39" s="900"/>
      <c r="B39" s="901" t="s">
        <v>1107</v>
      </c>
      <c r="C39" s="901" t="s">
        <v>1114</v>
      </c>
      <c r="D39" s="901" t="s">
        <v>791</v>
      </c>
      <c r="E39" s="901" t="s">
        <v>792</v>
      </c>
      <c r="F39" s="902">
        <v>44711</v>
      </c>
      <c r="G39" s="901" t="s">
        <v>793</v>
      </c>
      <c r="H39" s="903">
        <v>8062386.9400000004</v>
      </c>
      <c r="I39" s="901" t="s">
        <v>606</v>
      </c>
      <c r="J39" s="912" t="s">
        <v>555</v>
      </c>
      <c r="K39" s="901" t="s">
        <v>1171</v>
      </c>
      <c r="L39" s="901"/>
      <c r="M39" s="901" t="s">
        <v>1115</v>
      </c>
    </row>
    <row r="40" spans="1:13" x14ac:dyDescent="0.35">
      <c r="A40" s="900"/>
      <c r="B40" s="901" t="s">
        <v>1107</v>
      </c>
      <c r="C40" s="901" t="s">
        <v>1116</v>
      </c>
      <c r="D40" s="901" t="s">
        <v>791</v>
      </c>
      <c r="E40" s="901" t="s">
        <v>792</v>
      </c>
      <c r="F40" s="902">
        <v>44711</v>
      </c>
      <c r="G40" s="901" t="s">
        <v>793</v>
      </c>
      <c r="H40" s="903">
        <v>296849.89</v>
      </c>
      <c r="I40" s="901" t="s">
        <v>606</v>
      </c>
      <c r="J40" s="912">
        <v>2300000</v>
      </c>
      <c r="K40" s="901" t="s">
        <v>1171</v>
      </c>
      <c r="L40" s="901"/>
      <c r="M40" s="901" t="s">
        <v>1117</v>
      </c>
    </row>
    <row r="41" spans="1:13" x14ac:dyDescent="0.35">
      <c r="A41" s="900"/>
      <c r="B41" s="901" t="s">
        <v>1107</v>
      </c>
      <c r="C41" s="901" t="s">
        <v>1118</v>
      </c>
      <c r="D41" s="901" t="s">
        <v>791</v>
      </c>
      <c r="E41" s="901" t="s">
        <v>792</v>
      </c>
      <c r="F41" s="902">
        <v>44711</v>
      </c>
      <c r="G41" s="901" t="s">
        <v>793</v>
      </c>
      <c r="H41" s="903">
        <v>416460.98</v>
      </c>
      <c r="I41" s="901" t="s">
        <v>606</v>
      </c>
      <c r="J41" s="912" t="s">
        <v>654</v>
      </c>
      <c r="K41" s="901" t="s">
        <v>1172</v>
      </c>
      <c r="L41" s="901"/>
      <c r="M41" s="901" t="s">
        <v>1119</v>
      </c>
    </row>
    <row r="42" spans="1:13" x14ac:dyDescent="0.35">
      <c r="A42" s="900"/>
      <c r="B42" s="901" t="s">
        <v>1107</v>
      </c>
      <c r="C42" s="901" t="s">
        <v>1120</v>
      </c>
      <c r="D42" s="901" t="s">
        <v>791</v>
      </c>
      <c r="E42" s="901" t="s">
        <v>792</v>
      </c>
      <c r="F42" s="902">
        <v>44711</v>
      </c>
      <c r="G42" s="901" t="s">
        <v>793</v>
      </c>
      <c r="H42" s="903">
        <v>8104957.3099999996</v>
      </c>
      <c r="I42" s="901" t="s">
        <v>606</v>
      </c>
      <c r="J42" s="912" t="s">
        <v>618</v>
      </c>
      <c r="K42" s="901" t="s">
        <v>1172</v>
      </c>
      <c r="L42" s="901"/>
      <c r="M42" s="901" t="s">
        <v>1121</v>
      </c>
    </row>
    <row r="43" spans="1:13" x14ac:dyDescent="0.35">
      <c r="A43" s="900"/>
      <c r="B43" s="901" t="s">
        <v>1107</v>
      </c>
      <c r="C43" s="901" t="s">
        <v>1122</v>
      </c>
      <c r="D43" s="901" t="s">
        <v>791</v>
      </c>
      <c r="E43" s="901" t="s">
        <v>792</v>
      </c>
      <c r="F43" s="902">
        <v>44711</v>
      </c>
      <c r="G43" s="901" t="s">
        <v>793</v>
      </c>
      <c r="H43" s="903">
        <v>2223134.23</v>
      </c>
      <c r="I43" s="901" t="s">
        <v>606</v>
      </c>
      <c r="J43" s="912" t="s">
        <v>637</v>
      </c>
      <c r="K43" s="901" t="s">
        <v>1173</v>
      </c>
      <c r="L43" s="901"/>
      <c r="M43" s="901" t="s">
        <v>1123</v>
      </c>
    </row>
    <row r="44" spans="1:13" x14ac:dyDescent="0.35">
      <c r="A44" s="900"/>
      <c r="B44" s="901" t="s">
        <v>1124</v>
      </c>
      <c r="C44" s="901" t="s">
        <v>1125</v>
      </c>
      <c r="D44" s="901" t="s">
        <v>791</v>
      </c>
      <c r="E44" s="901" t="s">
        <v>792</v>
      </c>
      <c r="F44" s="902">
        <v>44711</v>
      </c>
      <c r="G44" s="901" t="s">
        <v>793</v>
      </c>
      <c r="H44" s="903">
        <v>7896233.25</v>
      </c>
      <c r="I44" s="901" t="s">
        <v>606</v>
      </c>
      <c r="J44" s="912" t="s">
        <v>555</v>
      </c>
      <c r="K44" s="901" t="s">
        <v>1170</v>
      </c>
      <c r="L44" s="901"/>
      <c r="M44" s="901" t="s">
        <v>1126</v>
      </c>
    </row>
    <row r="45" spans="1:13" x14ac:dyDescent="0.35">
      <c r="A45" s="900"/>
      <c r="B45" s="901" t="s">
        <v>1124</v>
      </c>
      <c r="C45" s="901" t="s">
        <v>1127</v>
      </c>
      <c r="D45" s="901" t="s">
        <v>791</v>
      </c>
      <c r="E45" s="901" t="s">
        <v>792</v>
      </c>
      <c r="F45" s="902">
        <v>44711</v>
      </c>
      <c r="G45" s="901" t="s">
        <v>793</v>
      </c>
      <c r="H45" s="903">
        <v>197162.9</v>
      </c>
      <c r="I45" s="901" t="s">
        <v>606</v>
      </c>
      <c r="J45" s="912" t="s">
        <v>564</v>
      </c>
      <c r="K45" s="901" t="s">
        <v>1174</v>
      </c>
      <c r="L45" s="901"/>
      <c r="M45" s="901" t="s">
        <v>1128</v>
      </c>
    </row>
    <row r="46" spans="1:13" x14ac:dyDescent="0.35">
      <c r="A46" s="900"/>
      <c r="B46" s="901" t="s">
        <v>1124</v>
      </c>
      <c r="C46" s="901" t="s">
        <v>1129</v>
      </c>
      <c r="D46" s="901" t="s">
        <v>791</v>
      </c>
      <c r="E46" s="901" t="s">
        <v>792</v>
      </c>
      <c r="F46" s="902">
        <v>44712</v>
      </c>
      <c r="G46" s="901" t="s">
        <v>793</v>
      </c>
      <c r="H46" s="903">
        <v>497988.37</v>
      </c>
      <c r="I46" s="901" t="s">
        <v>606</v>
      </c>
      <c r="J46" s="912">
        <v>4500000</v>
      </c>
      <c r="K46" s="901" t="s">
        <v>1172</v>
      </c>
      <c r="L46" s="901"/>
      <c r="M46" s="901" t="s">
        <v>1130</v>
      </c>
    </row>
    <row r="47" spans="1:13" x14ac:dyDescent="0.35">
      <c r="A47" s="900"/>
      <c r="B47" s="901" t="s">
        <v>1124</v>
      </c>
      <c r="C47" s="901" t="s">
        <v>1131</v>
      </c>
      <c r="D47" s="901" t="s">
        <v>791</v>
      </c>
      <c r="E47" s="901" t="s">
        <v>792</v>
      </c>
      <c r="F47" s="902">
        <v>44712</v>
      </c>
      <c r="G47" s="901" t="s">
        <v>793</v>
      </c>
      <c r="H47" s="903">
        <v>1788748.11</v>
      </c>
      <c r="I47" s="901" t="s">
        <v>606</v>
      </c>
      <c r="J47" s="912">
        <v>4500000</v>
      </c>
      <c r="K47" s="901" t="s">
        <v>1170</v>
      </c>
      <c r="L47" s="901"/>
      <c r="M47" s="901" t="s">
        <v>1132</v>
      </c>
    </row>
    <row r="48" spans="1:13" x14ac:dyDescent="0.35">
      <c r="A48" s="900"/>
      <c r="B48" s="901" t="s">
        <v>1124</v>
      </c>
      <c r="C48" s="901" t="s">
        <v>1133</v>
      </c>
      <c r="D48" s="901" t="s">
        <v>791</v>
      </c>
      <c r="E48" s="901" t="s">
        <v>792</v>
      </c>
      <c r="F48" s="902">
        <v>44712</v>
      </c>
      <c r="G48" s="901" t="s">
        <v>793</v>
      </c>
      <c r="H48" s="903">
        <v>84096.01</v>
      </c>
      <c r="I48" s="901" t="s">
        <v>606</v>
      </c>
      <c r="J48" s="912" t="s">
        <v>624</v>
      </c>
      <c r="K48" s="901" t="s">
        <v>1170</v>
      </c>
      <c r="L48" s="901"/>
      <c r="M48" s="901" t="s">
        <v>1134</v>
      </c>
    </row>
    <row r="49" spans="1:13" x14ac:dyDescent="0.35">
      <c r="A49" s="900"/>
      <c r="B49" s="901" t="s">
        <v>1124</v>
      </c>
      <c r="C49" s="901" t="s">
        <v>1135</v>
      </c>
      <c r="D49" s="901" t="s">
        <v>791</v>
      </c>
      <c r="E49" s="901" t="s">
        <v>792</v>
      </c>
      <c r="F49" s="902">
        <v>44712</v>
      </c>
      <c r="G49" s="901" t="s">
        <v>793</v>
      </c>
      <c r="H49" s="903">
        <v>40935.300000000003</v>
      </c>
      <c r="I49" s="901" t="s">
        <v>606</v>
      </c>
      <c r="J49" s="912" t="s">
        <v>871</v>
      </c>
      <c r="K49" s="901" t="s">
        <v>1171</v>
      </c>
      <c r="L49" s="901"/>
      <c r="M49" s="901" t="s">
        <v>1136</v>
      </c>
    </row>
    <row r="50" spans="1:13" x14ac:dyDescent="0.35">
      <c r="A50" s="900"/>
      <c r="B50" s="901" t="s">
        <v>1124</v>
      </c>
      <c r="C50" s="901" t="s">
        <v>1137</v>
      </c>
      <c r="D50" s="901" t="s">
        <v>791</v>
      </c>
      <c r="E50" s="901" t="s">
        <v>792</v>
      </c>
      <c r="F50" s="902">
        <v>44712</v>
      </c>
      <c r="G50" s="901" t="s">
        <v>793</v>
      </c>
      <c r="H50" s="903">
        <v>165225.57</v>
      </c>
      <c r="I50" s="901" t="s">
        <v>606</v>
      </c>
      <c r="J50" s="912">
        <v>2100000</v>
      </c>
      <c r="K50" s="901" t="s">
        <v>1170</v>
      </c>
      <c r="L50" s="901"/>
      <c r="M50" s="901" t="s">
        <v>1138</v>
      </c>
    </row>
    <row r="51" spans="1:13" x14ac:dyDescent="0.35">
      <c r="A51" s="900"/>
      <c r="B51" s="901" t="s">
        <v>1124</v>
      </c>
      <c r="C51" s="901" t="s">
        <v>1139</v>
      </c>
      <c r="D51" s="901" t="s">
        <v>791</v>
      </c>
      <c r="E51" s="901" t="s">
        <v>792</v>
      </c>
      <c r="F51" s="902">
        <v>44712</v>
      </c>
      <c r="G51" s="901" t="s">
        <v>793</v>
      </c>
      <c r="H51" s="903">
        <v>46316.4</v>
      </c>
      <c r="I51" s="901" t="s">
        <v>606</v>
      </c>
      <c r="J51" s="912" t="s">
        <v>554</v>
      </c>
      <c r="K51" s="901" t="s">
        <v>1171</v>
      </c>
      <c r="L51" s="901"/>
      <c r="M51" s="901" t="s">
        <v>1140</v>
      </c>
    </row>
    <row r="52" spans="1:13" x14ac:dyDescent="0.35">
      <c r="A52" s="900"/>
      <c r="B52" s="901" t="s">
        <v>1124</v>
      </c>
      <c r="C52" s="901" t="s">
        <v>1141</v>
      </c>
      <c r="D52" s="901" t="s">
        <v>791</v>
      </c>
      <c r="E52" s="901" t="s">
        <v>792</v>
      </c>
      <c r="F52" s="902">
        <v>44712</v>
      </c>
      <c r="G52" s="901" t="s">
        <v>793</v>
      </c>
      <c r="H52" s="903">
        <v>469633.55</v>
      </c>
      <c r="I52" s="901" t="s">
        <v>606</v>
      </c>
      <c r="J52" s="912">
        <v>3700000</v>
      </c>
      <c r="K52" s="901" t="s">
        <v>1170</v>
      </c>
      <c r="L52" s="901"/>
      <c r="M52" s="901" t="s">
        <v>1142</v>
      </c>
    </row>
    <row r="53" spans="1:13" x14ac:dyDescent="0.35">
      <c r="A53" s="900"/>
      <c r="B53" s="901" t="s">
        <v>1124</v>
      </c>
      <c r="C53" s="901" t="s">
        <v>1143</v>
      </c>
      <c r="D53" s="901" t="s">
        <v>791</v>
      </c>
      <c r="E53" s="901" t="s">
        <v>792</v>
      </c>
      <c r="F53" s="902">
        <v>44712</v>
      </c>
      <c r="G53" s="901" t="s">
        <v>793</v>
      </c>
      <c r="H53" s="903">
        <v>869362.56</v>
      </c>
      <c r="I53" s="901" t="s">
        <v>606</v>
      </c>
      <c r="J53" s="912">
        <v>4500000</v>
      </c>
      <c r="K53" s="901" t="s">
        <v>1171</v>
      </c>
      <c r="L53" s="901"/>
      <c r="M53" s="901" t="s">
        <v>1144</v>
      </c>
    </row>
    <row r="54" spans="1:13" x14ac:dyDescent="0.35">
      <c r="A54" s="900"/>
      <c r="B54" s="901" t="s">
        <v>1124</v>
      </c>
      <c r="C54" s="901" t="s">
        <v>1145</v>
      </c>
      <c r="D54" s="901" t="s">
        <v>791</v>
      </c>
      <c r="E54" s="901" t="s">
        <v>792</v>
      </c>
      <c r="F54" s="902">
        <v>44712</v>
      </c>
      <c r="G54" s="901" t="s">
        <v>793</v>
      </c>
      <c r="H54" s="903">
        <v>328032.95</v>
      </c>
      <c r="I54" s="901" t="s">
        <v>606</v>
      </c>
      <c r="J54" s="912">
        <v>4500000</v>
      </c>
      <c r="K54" s="901" t="s">
        <v>1175</v>
      </c>
      <c r="L54" s="901"/>
      <c r="M54" s="901" t="s">
        <v>1146</v>
      </c>
    </row>
    <row r="55" spans="1:13" x14ac:dyDescent="0.35">
      <c r="A55" s="900"/>
      <c r="B55" s="901" t="s">
        <v>1124</v>
      </c>
      <c r="C55" s="901" t="s">
        <v>1147</v>
      </c>
      <c r="D55" s="901" t="s">
        <v>791</v>
      </c>
      <c r="E55" s="901" t="s">
        <v>792</v>
      </c>
      <c r="F55" s="902">
        <v>44712</v>
      </c>
      <c r="G55" s="901" t="s">
        <v>793</v>
      </c>
      <c r="H55" s="903">
        <v>107899.36</v>
      </c>
      <c r="I55" s="901" t="s">
        <v>606</v>
      </c>
      <c r="J55" s="912" t="s">
        <v>554</v>
      </c>
      <c r="K55" s="901" t="s">
        <v>1172</v>
      </c>
      <c r="L55" s="901"/>
      <c r="M55" s="901" t="s">
        <v>1148</v>
      </c>
    </row>
    <row r="56" spans="1:13" x14ac:dyDescent="0.35">
      <c r="A56" s="900"/>
      <c r="B56" s="901" t="s">
        <v>1124</v>
      </c>
      <c r="C56" s="901" t="s">
        <v>1149</v>
      </c>
      <c r="D56" s="901" t="s">
        <v>791</v>
      </c>
      <c r="E56" s="901" t="s">
        <v>792</v>
      </c>
      <c r="F56" s="902">
        <v>44712</v>
      </c>
      <c r="G56" s="901" t="s">
        <v>793</v>
      </c>
      <c r="H56" s="903">
        <v>34667.32</v>
      </c>
      <c r="I56" s="901" t="s">
        <v>606</v>
      </c>
      <c r="J56" s="912" t="s">
        <v>1039</v>
      </c>
      <c r="K56" s="901" t="s">
        <v>1176</v>
      </c>
      <c r="L56" s="901"/>
      <c r="M56" s="901" t="s">
        <v>1150</v>
      </c>
    </row>
    <row r="57" spans="1:13" x14ac:dyDescent="0.35">
      <c r="A57" s="900"/>
      <c r="B57" s="901" t="s">
        <v>1124</v>
      </c>
      <c r="C57" s="901" t="s">
        <v>1151</v>
      </c>
      <c r="D57" s="901" t="s">
        <v>791</v>
      </c>
      <c r="E57" s="901" t="s">
        <v>792</v>
      </c>
      <c r="F57" s="902">
        <v>44712</v>
      </c>
      <c r="G57" s="901" t="s">
        <v>793</v>
      </c>
      <c r="H57" s="903">
        <v>2591478.89</v>
      </c>
      <c r="I57" s="901" t="s">
        <v>606</v>
      </c>
      <c r="J57" s="912" t="s">
        <v>554</v>
      </c>
      <c r="K57" s="901" t="s">
        <v>1176</v>
      </c>
      <c r="L57" s="901"/>
      <c r="M57" s="901" t="s">
        <v>1152</v>
      </c>
    </row>
    <row r="58" spans="1:13" x14ac:dyDescent="0.35">
      <c r="A58" s="900"/>
      <c r="B58" s="901" t="s">
        <v>1124</v>
      </c>
      <c r="C58" s="901" t="s">
        <v>1153</v>
      </c>
      <c r="D58" s="901" t="s">
        <v>791</v>
      </c>
      <c r="E58" s="901" t="s">
        <v>792</v>
      </c>
      <c r="F58" s="902">
        <v>44712</v>
      </c>
      <c r="G58" s="901" t="s">
        <v>793</v>
      </c>
      <c r="H58" s="903">
        <v>12541.7</v>
      </c>
      <c r="I58" s="901" t="s">
        <v>606</v>
      </c>
      <c r="J58" s="912">
        <v>3500000</v>
      </c>
      <c r="K58" s="901" t="s">
        <v>1170</v>
      </c>
      <c r="L58" s="901"/>
      <c r="M58" s="901" t="s">
        <v>1154</v>
      </c>
    </row>
    <row r="59" spans="1:13" x14ac:dyDescent="0.35">
      <c r="A59" s="904"/>
      <c r="B59" s="905"/>
      <c r="C59" s="905"/>
      <c r="D59" s="905"/>
      <c r="E59" s="905"/>
      <c r="F59" s="906"/>
      <c r="G59" s="905"/>
      <c r="H59" s="907">
        <v>92170330.560000002</v>
      </c>
      <c r="I59" s="905" t="s">
        <v>606</v>
      </c>
      <c r="J59" s="913"/>
      <c r="K59" s="905"/>
      <c r="L59" s="905"/>
      <c r="M59" s="905"/>
    </row>
    <row r="60" spans="1:13" x14ac:dyDescent="0.35">
      <c r="A60" s="905" t="s">
        <v>896</v>
      </c>
      <c r="B60" s="905"/>
      <c r="C60" s="905"/>
      <c r="D60" s="905"/>
      <c r="E60" s="905"/>
      <c r="F60" s="906"/>
      <c r="G60" s="905"/>
      <c r="H60" s="907">
        <v>92170330.560000002</v>
      </c>
      <c r="I60" s="905" t="s">
        <v>606</v>
      </c>
      <c r="J60" s="913"/>
      <c r="K60" s="905"/>
      <c r="L60" s="905"/>
      <c r="M60" s="905"/>
    </row>
    <row r="61" spans="1:13" x14ac:dyDescent="0.35">
      <c r="A61" s="908"/>
      <c r="B61" s="908"/>
      <c r="C61" s="908"/>
      <c r="D61" s="908"/>
      <c r="E61" s="908"/>
      <c r="F61" s="909"/>
      <c r="G61" s="908"/>
      <c r="H61" s="910">
        <v>92170330.560000002</v>
      </c>
      <c r="I61" s="908" t="s">
        <v>606</v>
      </c>
      <c r="J61" s="914"/>
      <c r="K61" s="908"/>
      <c r="L61" s="908"/>
      <c r="M61" s="908"/>
    </row>
    <row r="62" spans="1:13" x14ac:dyDescent="0.35">
      <c r="H62">
        <f>SUBTOTAL(9,H3:H61)</f>
        <v>368681322.24000007</v>
      </c>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76"/>
  <sheetViews>
    <sheetView topLeftCell="A46" workbookViewId="0">
      <selection activeCell="U63" sqref="U63"/>
    </sheetView>
  </sheetViews>
  <sheetFormatPr defaultRowHeight="14.5" x14ac:dyDescent="0.35"/>
  <cols>
    <col min="1" max="1" width="8.90625" style="682"/>
    <col min="2" max="2" width="15.90625" style="182" customWidth="1"/>
    <col min="3" max="3" width="17.36328125" style="682" customWidth="1"/>
    <col min="4" max="4" width="13.6328125" style="682" customWidth="1"/>
    <col min="5" max="5" width="14.36328125" style="675" customWidth="1"/>
    <col min="6" max="6" width="8.90625" style="682"/>
    <col min="7" max="7" width="30.6328125" style="682" hidden="1" customWidth="1"/>
    <col min="8" max="15" width="8.90625" style="682" hidden="1" customWidth="1"/>
    <col min="16" max="16" width="10.54296875" style="733" hidden="1" customWidth="1"/>
    <col min="17" max="17" width="8.90625" style="682" hidden="1" customWidth="1"/>
    <col min="18" max="18" width="8.90625" style="731"/>
    <col min="19" max="20" width="8.90625" style="682"/>
  </cols>
  <sheetData>
    <row r="1" spans="1:20" x14ac:dyDescent="0.35">
      <c r="A1" s="683" t="s">
        <v>585</v>
      </c>
      <c r="B1" s="683" t="s">
        <v>586</v>
      </c>
      <c r="C1" s="683" t="s">
        <v>531</v>
      </c>
      <c r="D1" s="683" t="s">
        <v>587</v>
      </c>
      <c r="E1" s="674" t="s">
        <v>588</v>
      </c>
      <c r="F1" s="683" t="s">
        <v>589</v>
      </c>
      <c r="G1" s="683" t="s">
        <v>590</v>
      </c>
      <c r="H1" s="683" t="s">
        <v>591</v>
      </c>
      <c r="I1" s="683" t="s">
        <v>592</v>
      </c>
      <c r="J1" s="683" t="s">
        <v>593</v>
      </c>
      <c r="K1" s="683" t="s">
        <v>594</v>
      </c>
      <c r="L1" s="683" t="s">
        <v>595</v>
      </c>
      <c r="M1" s="683" t="s">
        <v>596</v>
      </c>
      <c r="N1" s="683" t="s">
        <v>597</v>
      </c>
      <c r="O1" s="683" t="s">
        <v>598</v>
      </c>
      <c r="P1" s="728" t="s">
        <v>599</v>
      </c>
      <c r="Q1" s="683" t="s">
        <v>600</v>
      </c>
      <c r="R1" s="728" t="s">
        <v>601</v>
      </c>
      <c r="S1" s="683" t="s">
        <v>601</v>
      </c>
      <c r="T1" s="683" t="s">
        <v>602</v>
      </c>
    </row>
    <row r="2" spans="1:20" x14ac:dyDescent="0.35">
      <c r="A2" s="682">
        <v>70000073</v>
      </c>
      <c r="B2" s="729" t="s">
        <v>603</v>
      </c>
      <c r="C2" s="682" t="s">
        <v>604</v>
      </c>
      <c r="D2" s="682" t="s">
        <v>605</v>
      </c>
      <c r="E2" s="730">
        <v>96673.64</v>
      </c>
      <c r="F2" s="682" t="s">
        <v>606</v>
      </c>
      <c r="G2" s="682" t="s">
        <v>538</v>
      </c>
      <c r="H2" s="682">
        <v>12132955</v>
      </c>
      <c r="I2" s="682">
        <v>10003723</v>
      </c>
      <c r="J2" s="682">
        <v>5723</v>
      </c>
      <c r="K2" s="682">
        <v>23723</v>
      </c>
      <c r="L2" s="682">
        <v>56723</v>
      </c>
      <c r="M2" s="682" t="s">
        <v>607</v>
      </c>
      <c r="N2" s="682" t="s">
        <v>608</v>
      </c>
      <c r="O2" s="682">
        <v>235723</v>
      </c>
      <c r="P2" s="682">
        <v>2723</v>
      </c>
      <c r="Q2" s="682">
        <v>66723</v>
      </c>
      <c r="R2" s="731">
        <v>3400000</v>
      </c>
      <c r="S2" s="682">
        <v>202107</v>
      </c>
      <c r="T2" s="682" t="s">
        <v>609</v>
      </c>
    </row>
    <row r="3" spans="1:20" x14ac:dyDescent="0.35">
      <c r="A3" s="682">
        <v>70000073</v>
      </c>
      <c r="B3" s="729" t="s">
        <v>603</v>
      </c>
      <c r="C3" s="682" t="s">
        <v>604</v>
      </c>
      <c r="D3" s="682" t="s">
        <v>605</v>
      </c>
      <c r="E3" s="730">
        <v>114350.35</v>
      </c>
      <c r="F3" s="682" t="s">
        <v>606</v>
      </c>
      <c r="G3" s="682" t="s">
        <v>538</v>
      </c>
      <c r="H3" s="682">
        <v>12132955</v>
      </c>
      <c r="I3" s="682">
        <v>10003723</v>
      </c>
      <c r="J3" s="682">
        <v>5723</v>
      </c>
      <c r="K3" s="682">
        <v>23723</v>
      </c>
      <c r="L3" s="682">
        <v>56723</v>
      </c>
      <c r="M3" s="682" t="s">
        <v>607</v>
      </c>
      <c r="N3" s="682" t="s">
        <v>608</v>
      </c>
      <c r="O3" s="682">
        <v>235723</v>
      </c>
      <c r="P3" s="682">
        <v>2723</v>
      </c>
      <c r="Q3" s="682">
        <v>66723</v>
      </c>
      <c r="R3" s="731">
        <v>3400000</v>
      </c>
      <c r="S3" s="682">
        <v>202107</v>
      </c>
      <c r="T3" s="682" t="s">
        <v>609</v>
      </c>
    </row>
    <row r="4" spans="1:20" x14ac:dyDescent="0.35">
      <c r="A4" s="682">
        <v>70000094</v>
      </c>
      <c r="B4" s="729" t="s">
        <v>603</v>
      </c>
      <c r="C4" s="682" t="s">
        <v>604</v>
      </c>
      <c r="D4" s="682" t="s">
        <v>605</v>
      </c>
      <c r="E4" s="730">
        <v>240288.23</v>
      </c>
      <c r="F4" s="682" t="s">
        <v>606</v>
      </c>
      <c r="G4" s="682" t="s">
        <v>538</v>
      </c>
      <c r="H4" s="682">
        <v>12132955</v>
      </c>
      <c r="I4" s="682">
        <v>10003723</v>
      </c>
      <c r="J4" s="682">
        <v>5723</v>
      </c>
      <c r="K4" s="682">
        <v>23723</v>
      </c>
      <c r="L4" s="682">
        <v>56723</v>
      </c>
      <c r="M4" s="682" t="s">
        <v>607</v>
      </c>
      <c r="N4" s="682" t="s">
        <v>608</v>
      </c>
      <c r="O4" s="682">
        <v>235723</v>
      </c>
      <c r="P4" s="682">
        <v>2723</v>
      </c>
      <c r="Q4" s="682">
        <v>66723</v>
      </c>
      <c r="R4" s="731">
        <v>4500000</v>
      </c>
      <c r="S4" s="682">
        <v>202107</v>
      </c>
      <c r="T4" s="682" t="s">
        <v>609</v>
      </c>
    </row>
    <row r="5" spans="1:20" x14ac:dyDescent="0.35">
      <c r="A5" s="682">
        <v>70000024</v>
      </c>
      <c r="B5" s="729" t="s">
        <v>603</v>
      </c>
      <c r="C5" s="682" t="s">
        <v>604</v>
      </c>
      <c r="D5" s="682" t="s">
        <v>605</v>
      </c>
      <c r="E5" s="730">
        <v>7095467.79</v>
      </c>
      <c r="F5" s="682" t="s">
        <v>606</v>
      </c>
      <c r="G5" s="682" t="s">
        <v>538</v>
      </c>
      <c r="H5" s="682">
        <v>12132955</v>
      </c>
      <c r="I5" s="682">
        <v>10003723</v>
      </c>
      <c r="J5" s="682">
        <v>5723</v>
      </c>
      <c r="K5" s="682">
        <v>23723</v>
      </c>
      <c r="L5" s="682">
        <v>56723</v>
      </c>
      <c r="M5" s="682" t="s">
        <v>607</v>
      </c>
      <c r="N5" s="682" t="s">
        <v>608</v>
      </c>
      <c r="O5" s="682">
        <v>235723</v>
      </c>
      <c r="P5" s="682">
        <v>2723</v>
      </c>
      <c r="Q5" s="682">
        <v>66723</v>
      </c>
      <c r="R5" s="731" t="s">
        <v>555</v>
      </c>
      <c r="S5" s="682">
        <v>202107</v>
      </c>
      <c r="T5" s="682" t="s">
        <v>609</v>
      </c>
    </row>
    <row r="6" spans="1:20" x14ac:dyDescent="0.35">
      <c r="A6" s="682">
        <v>70000094</v>
      </c>
      <c r="B6" s="729" t="s">
        <v>610</v>
      </c>
      <c r="C6" s="682" t="s">
        <v>604</v>
      </c>
      <c r="D6" s="682" t="s">
        <v>605</v>
      </c>
      <c r="E6" s="730">
        <v>297651.81</v>
      </c>
      <c r="F6" s="682" t="s">
        <v>606</v>
      </c>
      <c r="G6" s="682" t="s">
        <v>538</v>
      </c>
      <c r="H6" s="682">
        <v>12132955</v>
      </c>
      <c r="I6" s="682">
        <v>10003723</v>
      </c>
      <c r="J6" s="682">
        <v>5723</v>
      </c>
      <c r="K6" s="682">
        <v>23723</v>
      </c>
      <c r="L6" s="682">
        <v>56723</v>
      </c>
      <c r="M6" s="682" t="s">
        <v>607</v>
      </c>
      <c r="N6" s="682" t="s">
        <v>608</v>
      </c>
      <c r="O6" s="682">
        <v>235723</v>
      </c>
      <c r="P6" s="682">
        <v>2723</v>
      </c>
      <c r="Q6" s="682">
        <v>66723</v>
      </c>
      <c r="R6" s="732">
        <v>4500000</v>
      </c>
      <c r="S6" s="682">
        <v>202107</v>
      </c>
      <c r="T6" s="682" t="s">
        <v>609</v>
      </c>
    </row>
    <row r="7" spans="1:20" x14ac:dyDescent="0.35">
      <c r="A7" s="682">
        <v>70000019</v>
      </c>
      <c r="B7" s="729" t="s">
        <v>610</v>
      </c>
      <c r="C7" s="682" t="s">
        <v>604</v>
      </c>
      <c r="D7" s="682" t="s">
        <v>605</v>
      </c>
      <c r="E7" s="730">
        <v>773454.3</v>
      </c>
      <c r="F7" s="682" t="s">
        <v>606</v>
      </c>
      <c r="G7" s="682" t="s">
        <v>538</v>
      </c>
      <c r="H7" s="682">
        <v>12132955</v>
      </c>
      <c r="I7" s="682">
        <v>10003723</v>
      </c>
      <c r="J7" s="682">
        <v>5723</v>
      </c>
      <c r="K7" s="682">
        <v>23723</v>
      </c>
      <c r="L7" s="682">
        <v>56723</v>
      </c>
      <c r="M7" s="682" t="s">
        <v>607</v>
      </c>
      <c r="N7" s="682" t="s">
        <v>608</v>
      </c>
      <c r="O7" s="682">
        <v>235723</v>
      </c>
      <c r="P7" s="682">
        <v>2723</v>
      </c>
      <c r="Q7" s="682">
        <v>66723</v>
      </c>
      <c r="R7" s="731" t="s">
        <v>562</v>
      </c>
      <c r="S7" s="682">
        <v>202107</v>
      </c>
      <c r="T7" s="682" t="s">
        <v>609</v>
      </c>
    </row>
    <row r="8" spans="1:20" x14ac:dyDescent="0.35">
      <c r="A8" s="682">
        <v>70000210</v>
      </c>
      <c r="B8" s="729" t="s">
        <v>610</v>
      </c>
      <c r="C8" s="682" t="s">
        <v>604</v>
      </c>
      <c r="D8" s="682" t="s">
        <v>605</v>
      </c>
      <c r="E8" s="730">
        <v>587285.30000000005</v>
      </c>
      <c r="F8" s="682" t="s">
        <v>606</v>
      </c>
      <c r="G8" s="682" t="s">
        <v>538</v>
      </c>
      <c r="H8" s="682">
        <v>12132955</v>
      </c>
      <c r="I8" s="682">
        <v>10003723</v>
      </c>
      <c r="J8" s="682">
        <v>5723</v>
      </c>
      <c r="K8" s="682">
        <v>23723</v>
      </c>
      <c r="L8" s="682">
        <v>56723</v>
      </c>
      <c r="M8" s="682" t="s">
        <v>607</v>
      </c>
      <c r="N8" s="682" t="s">
        <v>608</v>
      </c>
      <c r="O8" s="682">
        <v>235723</v>
      </c>
      <c r="P8" s="682">
        <v>2723</v>
      </c>
      <c r="Q8" s="682">
        <v>66723</v>
      </c>
      <c r="R8" s="731" t="s">
        <v>611</v>
      </c>
      <c r="S8" s="682">
        <v>202107</v>
      </c>
      <c r="T8" s="682" t="s">
        <v>609</v>
      </c>
    </row>
    <row r="9" spans="1:20" x14ac:dyDescent="0.35">
      <c r="A9" s="682">
        <v>70000094</v>
      </c>
      <c r="B9" s="729" t="s">
        <v>612</v>
      </c>
      <c r="C9" s="682" t="s">
        <v>604</v>
      </c>
      <c r="D9" s="682" t="s">
        <v>605</v>
      </c>
      <c r="E9" s="730">
        <v>274470.24</v>
      </c>
      <c r="F9" s="682" t="s">
        <v>606</v>
      </c>
      <c r="G9" s="682" t="s">
        <v>538</v>
      </c>
      <c r="H9" s="682">
        <v>12132955</v>
      </c>
      <c r="I9" s="682">
        <v>10003723</v>
      </c>
      <c r="J9" s="682">
        <v>5723</v>
      </c>
      <c r="K9" s="682">
        <v>23723</v>
      </c>
      <c r="L9" s="682">
        <v>56723</v>
      </c>
      <c r="M9" s="682" t="s">
        <v>607</v>
      </c>
      <c r="N9" s="682" t="s">
        <v>608</v>
      </c>
      <c r="O9" s="682">
        <v>235723</v>
      </c>
      <c r="P9" s="682">
        <v>2723</v>
      </c>
      <c r="Q9" s="682">
        <v>66723</v>
      </c>
      <c r="R9" s="731">
        <v>4500000</v>
      </c>
      <c r="S9" s="682">
        <v>202107</v>
      </c>
      <c r="T9" s="682" t="s">
        <v>609</v>
      </c>
    </row>
    <row r="10" spans="1:20" x14ac:dyDescent="0.35">
      <c r="A10" s="682">
        <v>70000210</v>
      </c>
      <c r="B10" s="729" t="s">
        <v>612</v>
      </c>
      <c r="C10" s="682" t="s">
        <v>604</v>
      </c>
      <c r="D10" s="682" t="s">
        <v>605</v>
      </c>
      <c r="E10" s="730">
        <v>587285.30000000005</v>
      </c>
      <c r="F10" s="682" t="s">
        <v>606</v>
      </c>
      <c r="G10" s="682" t="s">
        <v>538</v>
      </c>
      <c r="H10" s="682">
        <v>12132955</v>
      </c>
      <c r="I10" s="682">
        <v>10003723</v>
      </c>
      <c r="J10" s="682">
        <v>5723</v>
      </c>
      <c r="K10" s="682">
        <v>23723</v>
      </c>
      <c r="L10" s="682">
        <v>56723</v>
      </c>
      <c r="M10" s="682" t="s">
        <v>607</v>
      </c>
      <c r="N10" s="682" t="s">
        <v>608</v>
      </c>
      <c r="O10" s="682">
        <v>235723</v>
      </c>
      <c r="P10" s="682">
        <v>2723</v>
      </c>
      <c r="Q10" s="682">
        <v>66723</v>
      </c>
      <c r="R10" s="731" t="s">
        <v>611</v>
      </c>
      <c r="S10" s="682">
        <v>202107</v>
      </c>
      <c r="T10" s="682" t="s">
        <v>609</v>
      </c>
    </row>
    <row r="11" spans="1:20" x14ac:dyDescent="0.35">
      <c r="A11" s="682">
        <v>70000089</v>
      </c>
      <c r="B11" s="729" t="s">
        <v>613</v>
      </c>
      <c r="C11" s="682" t="s">
        <v>604</v>
      </c>
      <c r="D11" s="682" t="s">
        <v>605</v>
      </c>
      <c r="E11" s="730">
        <v>45939.1</v>
      </c>
      <c r="F11" s="682" t="s">
        <v>606</v>
      </c>
      <c r="G11" s="682" t="s">
        <v>538</v>
      </c>
      <c r="H11" s="682">
        <v>12132955</v>
      </c>
      <c r="I11" s="682">
        <v>10003723</v>
      </c>
      <c r="J11" s="682">
        <v>5723</v>
      </c>
      <c r="K11" s="682">
        <v>23723</v>
      </c>
      <c r="L11" s="682">
        <v>56723</v>
      </c>
      <c r="M11" s="682" t="s">
        <v>607</v>
      </c>
      <c r="N11" s="682" t="s">
        <v>608</v>
      </c>
      <c r="O11" s="682">
        <v>235723</v>
      </c>
      <c r="P11" s="682">
        <v>2723</v>
      </c>
      <c r="Q11" s="682">
        <v>66723</v>
      </c>
      <c r="R11" s="731" t="s">
        <v>554</v>
      </c>
      <c r="S11" s="682">
        <v>202107</v>
      </c>
      <c r="T11" s="682" t="s">
        <v>609</v>
      </c>
    </row>
    <row r="12" spans="1:20" x14ac:dyDescent="0.35">
      <c r="A12" s="682">
        <v>70000094</v>
      </c>
      <c r="B12" s="729" t="s">
        <v>613</v>
      </c>
      <c r="C12" s="682" t="s">
        <v>604</v>
      </c>
      <c r="D12" s="682" t="s">
        <v>605</v>
      </c>
      <c r="E12" s="730">
        <v>562622.66</v>
      </c>
      <c r="F12" s="682" t="s">
        <v>606</v>
      </c>
      <c r="G12" s="682" t="s">
        <v>538</v>
      </c>
      <c r="H12" s="682">
        <v>12132955</v>
      </c>
      <c r="I12" s="682">
        <v>10003723</v>
      </c>
      <c r="J12" s="682">
        <v>5723</v>
      </c>
      <c r="K12" s="682">
        <v>23723</v>
      </c>
      <c r="L12" s="682">
        <v>56723</v>
      </c>
      <c r="M12" s="682" t="s">
        <v>607</v>
      </c>
      <c r="N12" s="682" t="s">
        <v>608</v>
      </c>
      <c r="O12" s="682">
        <v>235723</v>
      </c>
      <c r="P12" s="682">
        <v>2723</v>
      </c>
      <c r="Q12" s="682">
        <v>66723</v>
      </c>
      <c r="R12" s="731">
        <v>4500000</v>
      </c>
      <c r="S12" s="682">
        <v>202107</v>
      </c>
      <c r="T12" s="682" t="s">
        <v>609</v>
      </c>
    </row>
    <row r="13" spans="1:20" x14ac:dyDescent="0.35">
      <c r="A13" s="682">
        <v>70000076</v>
      </c>
      <c r="B13" s="729" t="s">
        <v>614</v>
      </c>
      <c r="C13" s="682" t="s">
        <v>604</v>
      </c>
      <c r="D13" s="682" t="s">
        <v>605</v>
      </c>
      <c r="E13" s="730">
        <v>17856</v>
      </c>
      <c r="F13" s="682" t="s">
        <v>606</v>
      </c>
      <c r="G13" s="682" t="s">
        <v>538</v>
      </c>
      <c r="H13" s="682">
        <v>12132955</v>
      </c>
      <c r="I13" s="682">
        <v>10003723</v>
      </c>
      <c r="J13" s="682">
        <v>5723</v>
      </c>
      <c r="K13" s="682">
        <v>23723</v>
      </c>
      <c r="L13" s="682">
        <v>56723</v>
      </c>
      <c r="M13" s="682" t="s">
        <v>607</v>
      </c>
      <c r="N13" s="682" t="s">
        <v>608</v>
      </c>
      <c r="O13" s="682">
        <v>235723</v>
      </c>
      <c r="P13" s="682">
        <v>2723</v>
      </c>
      <c r="Q13" s="682">
        <v>66723</v>
      </c>
      <c r="R13" s="731">
        <v>1800000</v>
      </c>
      <c r="S13" s="682">
        <v>202107</v>
      </c>
      <c r="T13" s="682" t="s">
        <v>609</v>
      </c>
    </row>
    <row r="14" spans="1:20" x14ac:dyDescent="0.35">
      <c r="A14" s="682">
        <v>70000090</v>
      </c>
      <c r="B14" s="729" t="s">
        <v>614</v>
      </c>
      <c r="C14" s="682" t="s">
        <v>604</v>
      </c>
      <c r="D14" s="682" t="s">
        <v>605</v>
      </c>
      <c r="E14" s="730">
        <v>235287.6</v>
      </c>
      <c r="F14" s="682" t="s">
        <v>606</v>
      </c>
      <c r="G14" s="682" t="s">
        <v>538</v>
      </c>
      <c r="H14" s="682">
        <v>12132955</v>
      </c>
      <c r="I14" s="682">
        <v>10003723</v>
      </c>
      <c r="J14" s="682">
        <v>5723</v>
      </c>
      <c r="K14" s="682">
        <v>23723</v>
      </c>
      <c r="L14" s="682">
        <v>56723</v>
      </c>
      <c r="M14" s="682" t="s">
        <v>607</v>
      </c>
      <c r="N14" s="682" t="s">
        <v>608</v>
      </c>
      <c r="O14" s="682">
        <v>235723</v>
      </c>
      <c r="P14" s="682">
        <v>2723</v>
      </c>
      <c r="Q14" s="682">
        <v>66723</v>
      </c>
      <c r="R14" s="731" t="s">
        <v>615</v>
      </c>
      <c r="S14" s="682">
        <v>202107</v>
      </c>
      <c r="T14" s="682" t="s">
        <v>609</v>
      </c>
    </row>
    <row r="15" spans="1:20" x14ac:dyDescent="0.35">
      <c r="A15" s="682">
        <v>70000073</v>
      </c>
      <c r="B15" s="729" t="s">
        <v>614</v>
      </c>
      <c r="C15" s="682" t="s">
        <v>604</v>
      </c>
      <c r="D15" s="682" t="s">
        <v>605</v>
      </c>
      <c r="E15" s="730">
        <v>345195.88</v>
      </c>
      <c r="F15" s="682" t="s">
        <v>606</v>
      </c>
      <c r="G15" s="682" t="s">
        <v>538</v>
      </c>
      <c r="H15" s="682">
        <v>12132955</v>
      </c>
      <c r="I15" s="682">
        <v>10003723</v>
      </c>
      <c r="J15" s="682">
        <v>5723</v>
      </c>
      <c r="K15" s="682">
        <v>23723</v>
      </c>
      <c r="L15" s="682">
        <v>56723</v>
      </c>
      <c r="M15" s="682" t="s">
        <v>607</v>
      </c>
      <c r="N15" s="682" t="s">
        <v>608</v>
      </c>
      <c r="O15" s="682">
        <v>235723</v>
      </c>
      <c r="P15" s="682">
        <v>2723</v>
      </c>
      <c r="Q15" s="682">
        <v>66723</v>
      </c>
      <c r="R15" s="731">
        <v>3400000</v>
      </c>
      <c r="S15" s="682">
        <v>202107</v>
      </c>
      <c r="T15" s="682" t="s">
        <v>609</v>
      </c>
    </row>
    <row r="16" spans="1:20" x14ac:dyDescent="0.35">
      <c r="A16" s="682">
        <v>70000090</v>
      </c>
      <c r="B16" s="729" t="s">
        <v>616</v>
      </c>
      <c r="C16" s="682" t="s">
        <v>604</v>
      </c>
      <c r="D16" s="682" t="s">
        <v>605</v>
      </c>
      <c r="E16" s="730">
        <v>223328</v>
      </c>
      <c r="F16" s="682" t="s">
        <v>606</v>
      </c>
      <c r="G16" s="682" t="s">
        <v>538</v>
      </c>
      <c r="H16" s="682">
        <v>12132955</v>
      </c>
      <c r="I16" s="682">
        <v>10003723</v>
      </c>
      <c r="J16" s="682">
        <v>5723</v>
      </c>
      <c r="K16" s="682">
        <v>23723</v>
      </c>
      <c r="L16" s="682">
        <v>56723</v>
      </c>
      <c r="M16" s="682" t="s">
        <v>607</v>
      </c>
      <c r="N16" s="682" t="s">
        <v>608</v>
      </c>
      <c r="O16" s="682">
        <v>235723</v>
      </c>
      <c r="P16" s="682">
        <v>2723</v>
      </c>
      <c r="Q16" s="682">
        <v>66723</v>
      </c>
      <c r="R16" s="731" t="s">
        <v>615</v>
      </c>
      <c r="S16" s="682">
        <v>202107</v>
      </c>
      <c r="T16" s="682" t="s">
        <v>609</v>
      </c>
    </row>
    <row r="17" spans="1:20" x14ac:dyDescent="0.35">
      <c r="A17" s="682">
        <v>70000018</v>
      </c>
      <c r="B17" s="729" t="s">
        <v>617</v>
      </c>
      <c r="C17" s="682" t="s">
        <v>604</v>
      </c>
      <c r="D17" s="682" t="s">
        <v>605</v>
      </c>
      <c r="E17" s="730">
        <v>6593689.7400000002</v>
      </c>
      <c r="F17" s="682" t="s">
        <v>606</v>
      </c>
      <c r="G17" s="682" t="s">
        <v>538</v>
      </c>
      <c r="H17" s="682">
        <v>12132955</v>
      </c>
      <c r="I17" s="682">
        <v>10003723</v>
      </c>
      <c r="J17" s="682">
        <v>5723</v>
      </c>
      <c r="K17" s="682">
        <v>23723</v>
      </c>
      <c r="L17" s="682">
        <v>56723</v>
      </c>
      <c r="M17" s="682" t="s">
        <v>607</v>
      </c>
      <c r="N17" s="682" t="s">
        <v>608</v>
      </c>
      <c r="O17" s="682">
        <v>235723</v>
      </c>
      <c r="P17" s="682">
        <v>2723</v>
      </c>
      <c r="Q17" s="682">
        <v>66723</v>
      </c>
      <c r="R17" s="731" t="s">
        <v>559</v>
      </c>
      <c r="S17" s="682">
        <v>202107</v>
      </c>
      <c r="T17" s="682" t="s">
        <v>609</v>
      </c>
    </row>
    <row r="18" spans="1:20" x14ac:dyDescent="0.35">
      <c r="A18" s="682">
        <v>70000023</v>
      </c>
      <c r="B18" s="729" t="s">
        <v>617</v>
      </c>
      <c r="C18" s="682" t="s">
        <v>604</v>
      </c>
      <c r="D18" s="682" t="s">
        <v>605</v>
      </c>
      <c r="E18" s="730">
        <v>6580664.4100000001</v>
      </c>
      <c r="F18" s="682" t="s">
        <v>606</v>
      </c>
      <c r="G18" s="682" t="s">
        <v>538</v>
      </c>
      <c r="H18" s="682">
        <v>12132955</v>
      </c>
      <c r="I18" s="682">
        <v>10003723</v>
      </c>
      <c r="J18" s="682">
        <v>5723</v>
      </c>
      <c r="K18" s="682">
        <v>23723</v>
      </c>
      <c r="L18" s="682">
        <v>56723</v>
      </c>
      <c r="M18" s="682" t="s">
        <v>607</v>
      </c>
      <c r="N18" s="682" t="s">
        <v>608</v>
      </c>
      <c r="O18" s="682">
        <v>235723</v>
      </c>
      <c r="P18" s="682">
        <v>2723</v>
      </c>
      <c r="Q18" s="682">
        <v>66723</v>
      </c>
      <c r="R18" s="731" t="s">
        <v>618</v>
      </c>
      <c r="S18" s="682">
        <v>202107</v>
      </c>
      <c r="T18" s="682" t="s">
        <v>609</v>
      </c>
    </row>
    <row r="19" spans="1:20" x14ac:dyDescent="0.35">
      <c r="A19" s="682">
        <v>70000034</v>
      </c>
      <c r="B19" s="729" t="s">
        <v>619</v>
      </c>
      <c r="C19" s="682" t="s">
        <v>604</v>
      </c>
      <c r="D19" s="682" t="s">
        <v>605</v>
      </c>
      <c r="E19" s="730">
        <v>2170900.29</v>
      </c>
      <c r="F19" s="682" t="s">
        <v>606</v>
      </c>
      <c r="G19" s="682" t="s">
        <v>538</v>
      </c>
      <c r="H19" s="682">
        <v>12132955</v>
      </c>
      <c r="I19" s="682">
        <v>10003723</v>
      </c>
      <c r="J19" s="682">
        <v>5723</v>
      </c>
      <c r="K19" s="682">
        <v>23723</v>
      </c>
      <c r="L19" s="682">
        <v>56723</v>
      </c>
      <c r="M19" s="682" t="s">
        <v>607</v>
      </c>
      <c r="N19" s="682" t="s">
        <v>608</v>
      </c>
      <c r="O19" s="682">
        <v>235723</v>
      </c>
      <c r="P19" s="682">
        <v>2723</v>
      </c>
      <c r="Q19" s="682">
        <v>66723</v>
      </c>
      <c r="R19" s="731" t="s">
        <v>542</v>
      </c>
      <c r="S19" s="682">
        <v>202107</v>
      </c>
      <c r="T19" s="682" t="s">
        <v>609</v>
      </c>
    </row>
    <row r="20" spans="1:20" x14ac:dyDescent="0.35">
      <c r="A20" s="682">
        <v>70000094</v>
      </c>
      <c r="B20" s="729" t="s">
        <v>619</v>
      </c>
      <c r="C20" s="682" t="s">
        <v>604</v>
      </c>
      <c r="D20" s="682" t="s">
        <v>605</v>
      </c>
      <c r="E20" s="730">
        <v>182513.23</v>
      </c>
      <c r="F20" s="682" t="s">
        <v>606</v>
      </c>
      <c r="G20" s="682" t="s">
        <v>538</v>
      </c>
      <c r="H20" s="682">
        <v>12132955</v>
      </c>
      <c r="I20" s="682">
        <v>10003723</v>
      </c>
      <c r="J20" s="682">
        <v>5723</v>
      </c>
      <c r="K20" s="682">
        <v>23723</v>
      </c>
      <c r="L20" s="682">
        <v>56723</v>
      </c>
      <c r="M20" s="682" t="s">
        <v>607</v>
      </c>
      <c r="N20" s="682" t="s">
        <v>608</v>
      </c>
      <c r="O20" s="682">
        <v>235723</v>
      </c>
      <c r="P20" s="682">
        <v>2723</v>
      </c>
      <c r="Q20" s="682">
        <v>66723</v>
      </c>
      <c r="R20" s="731">
        <v>4500000</v>
      </c>
      <c r="S20" s="682">
        <v>202107</v>
      </c>
      <c r="T20" s="682" t="s">
        <v>609</v>
      </c>
    </row>
    <row r="21" spans="1:20" x14ac:dyDescent="0.35">
      <c r="A21" s="682">
        <v>70000076</v>
      </c>
      <c r="B21" s="729" t="s">
        <v>620</v>
      </c>
      <c r="C21" s="682" t="s">
        <v>604</v>
      </c>
      <c r="D21" s="682" t="s">
        <v>605</v>
      </c>
      <c r="E21" s="730">
        <v>167752.70000000001</v>
      </c>
      <c r="F21" s="682" t="s">
        <v>606</v>
      </c>
      <c r="G21" s="682" t="s">
        <v>538</v>
      </c>
      <c r="H21" s="682">
        <v>12132955</v>
      </c>
      <c r="I21" s="682">
        <v>10003723</v>
      </c>
      <c r="J21" s="682">
        <v>5723</v>
      </c>
      <c r="K21" s="682">
        <v>23723</v>
      </c>
      <c r="L21" s="682">
        <v>56723</v>
      </c>
      <c r="M21" s="682" t="s">
        <v>607</v>
      </c>
      <c r="N21" s="682" t="s">
        <v>608</v>
      </c>
      <c r="O21" s="682">
        <v>235723</v>
      </c>
      <c r="P21" s="682">
        <v>2723</v>
      </c>
      <c r="Q21" s="682">
        <v>66723</v>
      </c>
      <c r="R21" s="731">
        <v>1800000</v>
      </c>
      <c r="S21" s="682">
        <v>202107</v>
      </c>
      <c r="T21" s="682" t="s">
        <v>609</v>
      </c>
    </row>
    <row r="22" spans="1:20" x14ac:dyDescent="0.35">
      <c r="A22" s="682">
        <v>70000180</v>
      </c>
      <c r="B22" s="729" t="s">
        <v>620</v>
      </c>
      <c r="C22" s="682" t="s">
        <v>604</v>
      </c>
      <c r="D22" s="682" t="s">
        <v>605</v>
      </c>
      <c r="E22" s="730">
        <v>3832.01</v>
      </c>
      <c r="F22" s="682" t="s">
        <v>606</v>
      </c>
      <c r="G22" s="682" t="s">
        <v>538</v>
      </c>
      <c r="H22" s="682">
        <v>12132955</v>
      </c>
      <c r="I22" s="682">
        <v>10003723</v>
      </c>
      <c r="J22" s="682">
        <v>5723</v>
      </c>
      <c r="K22" s="682">
        <v>23723</v>
      </c>
      <c r="L22" s="682">
        <v>56723</v>
      </c>
      <c r="M22" s="682" t="s">
        <v>607</v>
      </c>
      <c r="N22" s="682" t="s">
        <v>608</v>
      </c>
      <c r="O22" s="682">
        <v>235723</v>
      </c>
      <c r="P22" s="682">
        <v>2723</v>
      </c>
      <c r="Q22" s="682">
        <v>66723</v>
      </c>
      <c r="R22" s="731">
        <v>6701400</v>
      </c>
      <c r="S22" s="682">
        <v>202107</v>
      </c>
      <c r="T22" s="682" t="s">
        <v>609</v>
      </c>
    </row>
    <row r="23" spans="1:20" x14ac:dyDescent="0.35">
      <c r="A23" s="682">
        <v>70000025</v>
      </c>
      <c r="B23" s="729" t="s">
        <v>621</v>
      </c>
      <c r="C23" s="682" t="s">
        <v>604</v>
      </c>
      <c r="D23" s="682" t="s">
        <v>605</v>
      </c>
      <c r="E23" s="730">
        <v>1569985.21</v>
      </c>
      <c r="F23" s="682" t="s">
        <v>606</v>
      </c>
      <c r="G23" s="682" t="s">
        <v>538</v>
      </c>
      <c r="H23" s="682">
        <v>12132955</v>
      </c>
      <c r="I23" s="682">
        <v>10003723</v>
      </c>
      <c r="J23" s="682">
        <v>5723</v>
      </c>
      <c r="K23" s="682">
        <v>23723</v>
      </c>
      <c r="L23" s="682">
        <v>56723</v>
      </c>
      <c r="M23" s="682" t="s">
        <v>607</v>
      </c>
      <c r="N23" s="682" t="s">
        <v>608</v>
      </c>
      <c r="O23" s="682">
        <v>235723</v>
      </c>
      <c r="P23" s="682">
        <v>2723</v>
      </c>
      <c r="Q23" s="682">
        <v>66723</v>
      </c>
      <c r="R23" s="731" t="s">
        <v>541</v>
      </c>
      <c r="S23" s="682">
        <v>202107</v>
      </c>
      <c r="T23" s="682" t="s">
        <v>609</v>
      </c>
    </row>
    <row r="24" spans="1:20" x14ac:dyDescent="0.35">
      <c r="A24" s="682">
        <v>70000074</v>
      </c>
      <c r="B24" s="729" t="s">
        <v>622</v>
      </c>
      <c r="C24" s="682" t="s">
        <v>604</v>
      </c>
      <c r="D24" s="682" t="s">
        <v>605</v>
      </c>
      <c r="E24" s="730">
        <v>11289004.07</v>
      </c>
      <c r="F24" s="682" t="s">
        <v>606</v>
      </c>
      <c r="G24" s="682" t="s">
        <v>538</v>
      </c>
      <c r="H24" s="682">
        <v>12132955</v>
      </c>
      <c r="I24" s="682">
        <v>10003723</v>
      </c>
      <c r="J24" s="682">
        <v>5723</v>
      </c>
      <c r="K24" s="682">
        <v>23723</v>
      </c>
      <c r="L24" s="682">
        <v>56723</v>
      </c>
      <c r="M24" s="682" t="s">
        <v>607</v>
      </c>
      <c r="N24" s="682" t="s">
        <v>608</v>
      </c>
      <c r="O24" s="682">
        <v>235723</v>
      </c>
      <c r="P24" s="682">
        <v>2723</v>
      </c>
      <c r="Q24" s="682">
        <v>66723</v>
      </c>
      <c r="R24" s="731">
        <v>4200000</v>
      </c>
      <c r="S24" s="682">
        <v>202107</v>
      </c>
      <c r="T24" s="682" t="s">
        <v>609</v>
      </c>
    </row>
    <row r="25" spans="1:20" x14ac:dyDescent="0.35">
      <c r="A25" s="682">
        <v>70000051</v>
      </c>
      <c r="B25" s="729" t="s">
        <v>622</v>
      </c>
      <c r="C25" s="682" t="s">
        <v>604</v>
      </c>
      <c r="D25" s="682" t="s">
        <v>605</v>
      </c>
      <c r="E25" s="730">
        <v>29791.52</v>
      </c>
      <c r="F25" s="682" t="s">
        <v>606</v>
      </c>
      <c r="G25" s="682" t="s">
        <v>538</v>
      </c>
      <c r="H25" s="682">
        <v>12132955</v>
      </c>
      <c r="I25" s="682">
        <v>10003723</v>
      </c>
      <c r="J25" s="682">
        <v>5723</v>
      </c>
      <c r="K25" s="682">
        <v>23723</v>
      </c>
      <c r="L25" s="682">
        <v>56723</v>
      </c>
      <c r="M25" s="682" t="s">
        <v>607</v>
      </c>
      <c r="N25" s="682" t="s">
        <v>608</v>
      </c>
      <c r="O25" s="682">
        <v>235723</v>
      </c>
      <c r="P25" s="682">
        <v>2723</v>
      </c>
      <c r="Q25" s="682">
        <v>66723</v>
      </c>
      <c r="R25" s="731" t="s">
        <v>623</v>
      </c>
      <c r="S25" s="682">
        <v>202107</v>
      </c>
      <c r="T25" s="682" t="s">
        <v>609</v>
      </c>
    </row>
    <row r="26" spans="1:20" x14ac:dyDescent="0.35">
      <c r="A26" s="682">
        <v>70000057</v>
      </c>
      <c r="B26" s="729" t="s">
        <v>622</v>
      </c>
      <c r="C26" s="682" t="s">
        <v>604</v>
      </c>
      <c r="D26" s="682" t="s">
        <v>605</v>
      </c>
      <c r="E26" s="730">
        <v>43243.25</v>
      </c>
      <c r="F26" s="682" t="s">
        <v>606</v>
      </c>
      <c r="G26" s="682" t="s">
        <v>538</v>
      </c>
      <c r="H26" s="682">
        <v>12132955</v>
      </c>
      <c r="I26" s="682">
        <v>10003723</v>
      </c>
      <c r="J26" s="682">
        <v>5723</v>
      </c>
      <c r="K26" s="682">
        <v>23723</v>
      </c>
      <c r="L26" s="682">
        <v>56723</v>
      </c>
      <c r="M26" s="682" t="s">
        <v>607</v>
      </c>
      <c r="N26" s="682" t="s">
        <v>608</v>
      </c>
      <c r="O26" s="682">
        <v>235723</v>
      </c>
      <c r="P26" s="682">
        <v>2723</v>
      </c>
      <c r="Q26" s="682">
        <v>66723</v>
      </c>
      <c r="R26" s="731" t="s">
        <v>624</v>
      </c>
      <c r="S26" s="682">
        <v>202107</v>
      </c>
      <c r="T26" s="682" t="s">
        <v>609</v>
      </c>
    </row>
    <row r="27" spans="1:20" x14ac:dyDescent="0.35">
      <c r="A27" s="682">
        <v>70000065</v>
      </c>
      <c r="B27" s="729" t="s">
        <v>622</v>
      </c>
      <c r="C27" s="682" t="s">
        <v>604</v>
      </c>
      <c r="D27" s="682" t="s">
        <v>605</v>
      </c>
      <c r="E27" s="730">
        <v>143887.20000000001</v>
      </c>
      <c r="F27" s="682" t="s">
        <v>606</v>
      </c>
      <c r="G27" s="682" t="s">
        <v>538</v>
      </c>
      <c r="H27" s="682">
        <v>12132955</v>
      </c>
      <c r="I27" s="682">
        <v>10003723</v>
      </c>
      <c r="J27" s="682">
        <v>5723</v>
      </c>
      <c r="K27" s="682">
        <v>23723</v>
      </c>
      <c r="L27" s="682">
        <v>56723</v>
      </c>
      <c r="M27" s="682" t="s">
        <v>607</v>
      </c>
      <c r="N27" s="682" t="s">
        <v>608</v>
      </c>
      <c r="O27" s="682">
        <v>235723</v>
      </c>
      <c r="P27" s="682">
        <v>2723</v>
      </c>
      <c r="Q27" s="682">
        <v>66723</v>
      </c>
      <c r="R27" s="731">
        <v>1400000</v>
      </c>
      <c r="S27" s="682">
        <v>202107</v>
      </c>
      <c r="T27" s="682" t="s">
        <v>609</v>
      </c>
    </row>
    <row r="28" spans="1:20" x14ac:dyDescent="0.35">
      <c r="A28" s="682">
        <v>70000175</v>
      </c>
      <c r="B28" s="729" t="s">
        <v>622</v>
      </c>
      <c r="C28" s="682" t="s">
        <v>604</v>
      </c>
      <c r="D28" s="682" t="s">
        <v>605</v>
      </c>
      <c r="E28" s="730">
        <v>161494.25</v>
      </c>
      <c r="F28" s="682" t="s">
        <v>606</v>
      </c>
      <c r="G28" s="682" t="s">
        <v>538</v>
      </c>
      <c r="H28" s="682">
        <v>12132955</v>
      </c>
      <c r="I28" s="682">
        <v>10003723</v>
      </c>
      <c r="J28" s="682">
        <v>5723</v>
      </c>
      <c r="K28" s="682">
        <v>23723</v>
      </c>
      <c r="L28" s="682">
        <v>56723</v>
      </c>
      <c r="M28" s="682" t="s">
        <v>607</v>
      </c>
      <c r="N28" s="682" t="s">
        <v>608</v>
      </c>
      <c r="O28" s="682">
        <v>235723</v>
      </c>
      <c r="P28" s="682">
        <v>2723</v>
      </c>
      <c r="Q28" s="682">
        <v>66723</v>
      </c>
      <c r="R28" s="731" t="s">
        <v>566</v>
      </c>
      <c r="S28" s="682">
        <v>202107</v>
      </c>
      <c r="T28" s="682" t="s">
        <v>609</v>
      </c>
    </row>
    <row r="29" spans="1:20" x14ac:dyDescent="0.35">
      <c r="A29" s="682">
        <v>70000088</v>
      </c>
      <c r="B29" s="729" t="s">
        <v>622</v>
      </c>
      <c r="C29" s="682" t="s">
        <v>604</v>
      </c>
      <c r="D29" s="682" t="s">
        <v>605</v>
      </c>
      <c r="E29" s="730">
        <v>175770.7</v>
      </c>
      <c r="F29" s="682" t="s">
        <v>606</v>
      </c>
      <c r="G29" s="682" t="s">
        <v>538</v>
      </c>
      <c r="H29" s="682">
        <v>12132955</v>
      </c>
      <c r="I29" s="682">
        <v>10003723</v>
      </c>
      <c r="J29" s="682">
        <v>5723</v>
      </c>
      <c r="K29" s="682">
        <v>23723</v>
      </c>
      <c r="L29" s="682">
        <v>56723</v>
      </c>
      <c r="M29" s="682" t="s">
        <v>607</v>
      </c>
      <c r="N29" s="682" t="s">
        <v>608</v>
      </c>
      <c r="O29" s="682">
        <v>235723</v>
      </c>
      <c r="P29" s="682">
        <v>2723</v>
      </c>
      <c r="Q29" s="682">
        <v>66723</v>
      </c>
      <c r="R29" s="731" t="s">
        <v>564</v>
      </c>
      <c r="S29" s="682">
        <v>202107</v>
      </c>
      <c r="T29" s="682" t="s">
        <v>609</v>
      </c>
    </row>
    <row r="30" spans="1:20" x14ac:dyDescent="0.35">
      <c r="A30" s="682">
        <v>70000065</v>
      </c>
      <c r="B30" s="729" t="s">
        <v>625</v>
      </c>
      <c r="C30" s="682" t="s">
        <v>604</v>
      </c>
      <c r="D30" s="682" t="s">
        <v>605</v>
      </c>
      <c r="E30" s="730">
        <v>130403.04</v>
      </c>
      <c r="F30" s="682" t="s">
        <v>606</v>
      </c>
      <c r="G30" s="682" t="s">
        <v>538</v>
      </c>
      <c r="H30" s="682">
        <v>12132955</v>
      </c>
      <c r="I30" s="682">
        <v>10003723</v>
      </c>
      <c r="J30" s="682">
        <v>5723</v>
      </c>
      <c r="K30" s="682">
        <v>23723</v>
      </c>
      <c r="L30" s="682">
        <v>56723</v>
      </c>
      <c r="M30" s="682" t="s">
        <v>607</v>
      </c>
      <c r="N30" s="682" t="s">
        <v>608</v>
      </c>
      <c r="O30" s="682">
        <v>235723</v>
      </c>
      <c r="P30" s="682">
        <v>2723</v>
      </c>
      <c r="Q30" s="682">
        <v>66723</v>
      </c>
      <c r="R30" s="731">
        <v>1400000</v>
      </c>
      <c r="S30" s="682">
        <v>202107</v>
      </c>
      <c r="T30" s="682" t="s">
        <v>609</v>
      </c>
    </row>
    <row r="31" spans="1:20" x14ac:dyDescent="0.35">
      <c r="A31" s="682">
        <v>70000076</v>
      </c>
      <c r="B31" s="729" t="s">
        <v>625</v>
      </c>
      <c r="C31" s="682" t="s">
        <v>604</v>
      </c>
      <c r="D31" s="682" t="s">
        <v>605</v>
      </c>
      <c r="E31" s="730">
        <v>185280.35</v>
      </c>
      <c r="F31" s="682" t="s">
        <v>606</v>
      </c>
      <c r="G31" s="682" t="s">
        <v>538</v>
      </c>
      <c r="H31" s="682">
        <v>12132955</v>
      </c>
      <c r="I31" s="682">
        <v>10003723</v>
      </c>
      <c r="J31" s="682">
        <v>5723</v>
      </c>
      <c r="K31" s="682">
        <v>23723</v>
      </c>
      <c r="L31" s="682">
        <v>56723</v>
      </c>
      <c r="M31" s="682" t="s">
        <v>607</v>
      </c>
      <c r="N31" s="682" t="s">
        <v>608</v>
      </c>
      <c r="O31" s="682">
        <v>235723</v>
      </c>
      <c r="P31" s="682">
        <v>2723</v>
      </c>
      <c r="Q31" s="682">
        <v>66723</v>
      </c>
      <c r="R31" s="731">
        <v>1800000</v>
      </c>
      <c r="S31" s="682">
        <v>202107</v>
      </c>
      <c r="T31" s="682" t="s">
        <v>609</v>
      </c>
    </row>
    <row r="32" spans="1:20" x14ac:dyDescent="0.35">
      <c r="A32" s="682">
        <v>70000064</v>
      </c>
      <c r="B32" s="729" t="s">
        <v>625</v>
      </c>
      <c r="C32" s="682" t="s">
        <v>604</v>
      </c>
      <c r="D32" s="682" t="s">
        <v>605</v>
      </c>
      <c r="E32" s="730">
        <v>208529.87</v>
      </c>
      <c r="F32" s="682" t="s">
        <v>606</v>
      </c>
      <c r="G32" s="682" t="s">
        <v>538</v>
      </c>
      <c r="H32" s="682">
        <v>12132955</v>
      </c>
      <c r="I32" s="682">
        <v>10003723</v>
      </c>
      <c r="J32" s="682">
        <v>5723</v>
      </c>
      <c r="K32" s="682">
        <v>23723</v>
      </c>
      <c r="L32" s="682">
        <v>56723</v>
      </c>
      <c r="M32" s="682" t="s">
        <v>607</v>
      </c>
      <c r="N32" s="682" t="s">
        <v>608</v>
      </c>
      <c r="O32" s="682">
        <v>235723</v>
      </c>
      <c r="P32" s="682">
        <v>2723</v>
      </c>
      <c r="Q32" s="682">
        <v>66723</v>
      </c>
      <c r="R32" s="731">
        <v>2400000</v>
      </c>
      <c r="S32" s="682">
        <v>202107</v>
      </c>
      <c r="T32" s="682" t="s">
        <v>609</v>
      </c>
    </row>
    <row r="33" spans="1:20" x14ac:dyDescent="0.35">
      <c r="A33" s="682">
        <v>70000048</v>
      </c>
      <c r="B33" s="729" t="s">
        <v>625</v>
      </c>
      <c r="C33" s="682" t="s">
        <v>604</v>
      </c>
      <c r="D33" s="682" t="s">
        <v>605</v>
      </c>
      <c r="E33" s="730">
        <v>1264923.54</v>
      </c>
      <c r="F33" s="682" t="s">
        <v>606</v>
      </c>
      <c r="G33" s="682" t="s">
        <v>538</v>
      </c>
      <c r="H33" s="682">
        <v>12132955</v>
      </c>
      <c r="I33" s="682">
        <v>10003723</v>
      </c>
      <c r="J33" s="682">
        <v>5723</v>
      </c>
      <c r="K33" s="682">
        <v>23723</v>
      </c>
      <c r="L33" s="682">
        <v>56723</v>
      </c>
      <c r="M33" s="682" t="s">
        <v>607</v>
      </c>
      <c r="N33" s="682" t="s">
        <v>608</v>
      </c>
      <c r="O33" s="682">
        <v>235723</v>
      </c>
      <c r="P33" s="682">
        <v>2723</v>
      </c>
      <c r="Q33" s="682">
        <v>66723</v>
      </c>
      <c r="R33" s="731">
        <v>5300000</v>
      </c>
      <c r="S33" s="682">
        <v>202107</v>
      </c>
      <c r="T33" s="682" t="s">
        <v>609</v>
      </c>
    </row>
    <row r="34" spans="1:20" x14ac:dyDescent="0.35">
      <c r="A34" s="682">
        <v>70000094</v>
      </c>
      <c r="B34" s="729" t="s">
        <v>626</v>
      </c>
      <c r="C34" s="682" t="s">
        <v>604</v>
      </c>
      <c r="D34" s="682" t="s">
        <v>605</v>
      </c>
      <c r="E34" s="730">
        <v>110942.3</v>
      </c>
      <c r="F34" s="682" t="s">
        <v>606</v>
      </c>
      <c r="G34" s="682" t="s">
        <v>538</v>
      </c>
      <c r="H34" s="682">
        <v>12132955</v>
      </c>
      <c r="I34" s="682">
        <v>10003723</v>
      </c>
      <c r="J34" s="682">
        <v>5723</v>
      </c>
      <c r="K34" s="682">
        <v>23723</v>
      </c>
      <c r="L34" s="682">
        <v>56723</v>
      </c>
      <c r="M34" s="682" t="s">
        <v>607</v>
      </c>
      <c r="N34" s="682" t="s">
        <v>608</v>
      </c>
      <c r="O34" s="682">
        <v>235723</v>
      </c>
      <c r="P34" s="682">
        <v>2723</v>
      </c>
      <c r="Q34" s="682">
        <v>66723</v>
      </c>
      <c r="R34" s="731">
        <v>4500000</v>
      </c>
      <c r="S34" s="682">
        <v>202107</v>
      </c>
      <c r="T34" s="682" t="s">
        <v>609</v>
      </c>
    </row>
    <row r="35" spans="1:20" x14ac:dyDescent="0.35">
      <c r="A35" s="682">
        <v>70000031</v>
      </c>
      <c r="B35" s="729" t="s">
        <v>627</v>
      </c>
      <c r="C35" s="682" t="s">
        <v>604</v>
      </c>
      <c r="D35" s="682" t="s">
        <v>605</v>
      </c>
      <c r="E35" s="730">
        <v>43028.72</v>
      </c>
      <c r="F35" s="682" t="s">
        <v>606</v>
      </c>
      <c r="G35" s="682" t="s">
        <v>538</v>
      </c>
      <c r="H35" s="682">
        <v>12132955</v>
      </c>
      <c r="I35" s="682">
        <v>10003723</v>
      </c>
      <c r="J35" s="682">
        <v>5723</v>
      </c>
      <c r="K35" s="682">
        <v>23723</v>
      </c>
      <c r="L35" s="682">
        <v>56723</v>
      </c>
      <c r="M35" s="682" t="s">
        <v>607</v>
      </c>
      <c r="N35" s="682" t="s">
        <v>608</v>
      </c>
      <c r="O35" s="682">
        <v>235723</v>
      </c>
      <c r="P35" s="682">
        <v>2723</v>
      </c>
      <c r="Q35" s="682">
        <v>66723</v>
      </c>
      <c r="R35" s="731" t="s">
        <v>628</v>
      </c>
      <c r="S35" s="682">
        <v>202107</v>
      </c>
      <c r="T35" s="682" t="s">
        <v>609</v>
      </c>
    </row>
    <row r="36" spans="1:20" x14ac:dyDescent="0.35">
      <c r="A36" s="682">
        <v>70000094</v>
      </c>
      <c r="B36" s="729" t="s">
        <v>627</v>
      </c>
      <c r="C36" s="682" t="s">
        <v>604</v>
      </c>
      <c r="D36" s="682" t="s">
        <v>605</v>
      </c>
      <c r="E36" s="730">
        <v>148322.34</v>
      </c>
      <c r="F36" s="682" t="s">
        <v>606</v>
      </c>
      <c r="G36" s="682" t="s">
        <v>538</v>
      </c>
      <c r="H36" s="682">
        <v>12132955</v>
      </c>
      <c r="I36" s="682">
        <v>10003723</v>
      </c>
      <c r="J36" s="682">
        <v>5723</v>
      </c>
      <c r="K36" s="682">
        <v>23723</v>
      </c>
      <c r="L36" s="682">
        <v>56723</v>
      </c>
      <c r="M36" s="682" t="s">
        <v>607</v>
      </c>
      <c r="N36" s="682" t="s">
        <v>608</v>
      </c>
      <c r="O36" s="682">
        <v>235723</v>
      </c>
      <c r="P36" s="682">
        <v>2723</v>
      </c>
      <c r="Q36" s="682">
        <v>66723</v>
      </c>
      <c r="R36" s="731">
        <v>4500000</v>
      </c>
      <c r="S36" s="682">
        <v>202107</v>
      </c>
      <c r="T36" s="682" t="s">
        <v>609</v>
      </c>
    </row>
    <row r="37" spans="1:20" x14ac:dyDescent="0.35">
      <c r="A37" s="642">
        <v>70000090</v>
      </c>
      <c r="B37" s="734" t="s">
        <v>626</v>
      </c>
      <c r="C37" s="642" t="s">
        <v>604</v>
      </c>
      <c r="D37" s="642" t="s">
        <v>605</v>
      </c>
      <c r="E37" s="735">
        <v>257373.3</v>
      </c>
      <c r="F37" s="642" t="s">
        <v>606</v>
      </c>
      <c r="G37" s="682" t="s">
        <v>538</v>
      </c>
      <c r="H37" s="682">
        <v>12132955</v>
      </c>
      <c r="I37" s="682">
        <v>10003723</v>
      </c>
      <c r="J37" s="682">
        <v>5723</v>
      </c>
      <c r="K37" s="682">
        <v>23723</v>
      </c>
      <c r="L37" s="682">
        <v>56723</v>
      </c>
      <c r="M37" s="682" t="s">
        <v>607</v>
      </c>
      <c r="N37" s="682" t="s">
        <v>608</v>
      </c>
      <c r="O37" s="682">
        <v>235723</v>
      </c>
      <c r="P37" s="682">
        <v>2723</v>
      </c>
      <c r="Q37" s="682">
        <v>66723</v>
      </c>
      <c r="R37" s="736" t="s">
        <v>629</v>
      </c>
      <c r="S37" s="642">
        <v>202107</v>
      </c>
      <c r="T37" s="682" t="s">
        <v>609</v>
      </c>
    </row>
    <row r="38" spans="1:20" x14ac:dyDescent="0.35">
      <c r="A38" s="682">
        <v>70000071</v>
      </c>
      <c r="B38" s="729" t="s">
        <v>627</v>
      </c>
      <c r="C38" s="682" t="s">
        <v>604</v>
      </c>
      <c r="D38" s="682" t="s">
        <v>605</v>
      </c>
      <c r="E38" s="730">
        <v>577103.14</v>
      </c>
      <c r="F38" s="682" t="s">
        <v>606</v>
      </c>
      <c r="G38" s="682" t="s">
        <v>538</v>
      </c>
      <c r="H38" s="682">
        <v>12132955</v>
      </c>
      <c r="I38" s="682">
        <v>10003723</v>
      </c>
      <c r="J38" s="682">
        <v>5723</v>
      </c>
      <c r="K38" s="682">
        <v>23723</v>
      </c>
      <c r="L38" s="682">
        <v>56723</v>
      </c>
      <c r="M38" s="682" t="s">
        <v>607</v>
      </c>
      <c r="N38" s="682" t="s">
        <v>608</v>
      </c>
      <c r="O38" s="682">
        <v>235723</v>
      </c>
      <c r="P38" s="682">
        <v>2723</v>
      </c>
      <c r="Q38" s="682">
        <v>66723</v>
      </c>
      <c r="R38" s="731">
        <v>700000</v>
      </c>
      <c r="S38" s="682">
        <v>202107</v>
      </c>
      <c r="T38" s="682" t="s">
        <v>609</v>
      </c>
    </row>
    <row r="39" spans="1:20" x14ac:dyDescent="0.35">
      <c r="A39" s="682">
        <v>70000066</v>
      </c>
      <c r="B39" s="729" t="s">
        <v>630</v>
      </c>
      <c r="C39" s="682" t="s">
        <v>604</v>
      </c>
      <c r="D39" s="682" t="s">
        <v>605</v>
      </c>
      <c r="E39" s="730">
        <v>881318.1</v>
      </c>
      <c r="F39" s="682" t="s">
        <v>606</v>
      </c>
      <c r="G39" s="682" t="s">
        <v>538</v>
      </c>
      <c r="H39" s="682">
        <v>12132955</v>
      </c>
      <c r="I39" s="682">
        <v>10003723</v>
      </c>
      <c r="J39" s="682">
        <v>5723</v>
      </c>
      <c r="K39" s="682">
        <v>23723</v>
      </c>
      <c r="L39" s="682">
        <v>56723</v>
      </c>
      <c r="M39" s="682" t="s">
        <v>607</v>
      </c>
      <c r="N39" s="682" t="s">
        <v>608</v>
      </c>
      <c r="O39" s="682">
        <v>235723</v>
      </c>
      <c r="P39" s="682">
        <v>2723</v>
      </c>
      <c r="Q39" s="682">
        <v>66723</v>
      </c>
      <c r="R39" s="731">
        <v>2600000</v>
      </c>
      <c r="S39" s="682">
        <v>202107</v>
      </c>
      <c r="T39" s="682" t="s">
        <v>609</v>
      </c>
    </row>
    <row r="40" spans="1:20" x14ac:dyDescent="0.35">
      <c r="A40" s="682">
        <v>70000026</v>
      </c>
      <c r="B40" s="182" t="s">
        <v>630</v>
      </c>
      <c r="C40" s="682" t="s">
        <v>604</v>
      </c>
      <c r="D40" s="682" t="s">
        <v>605</v>
      </c>
      <c r="E40" s="675">
        <v>682102.4</v>
      </c>
      <c r="F40" s="682" t="s">
        <v>606</v>
      </c>
      <c r="G40" s="682" t="s">
        <v>538</v>
      </c>
      <c r="H40" s="682">
        <v>12132955</v>
      </c>
      <c r="I40" s="682">
        <v>10003723</v>
      </c>
      <c r="J40" s="682">
        <v>5723</v>
      </c>
      <c r="K40" s="682">
        <v>23723</v>
      </c>
      <c r="L40" s="682">
        <v>56723</v>
      </c>
      <c r="M40" s="682" t="s">
        <v>607</v>
      </c>
      <c r="N40" s="682" t="s">
        <v>608</v>
      </c>
      <c r="O40" s="682">
        <v>235723</v>
      </c>
      <c r="P40" s="682">
        <v>2723</v>
      </c>
      <c r="Q40" s="682">
        <v>66723</v>
      </c>
      <c r="R40" s="731" t="s">
        <v>543</v>
      </c>
      <c r="S40" s="682">
        <v>202107</v>
      </c>
      <c r="T40" s="682" t="s">
        <v>609</v>
      </c>
    </row>
    <row r="41" spans="1:20" x14ac:dyDescent="0.35">
      <c r="A41" s="682">
        <v>70000094</v>
      </c>
      <c r="B41" s="182" t="s">
        <v>631</v>
      </c>
      <c r="C41" s="682" t="s">
        <v>604</v>
      </c>
      <c r="D41" s="682" t="s">
        <v>605</v>
      </c>
      <c r="E41" s="675">
        <v>172743.3</v>
      </c>
      <c r="F41" s="682" t="s">
        <v>606</v>
      </c>
      <c r="G41" s="682" t="s">
        <v>538</v>
      </c>
      <c r="H41" s="682">
        <v>12132955</v>
      </c>
      <c r="I41" s="682">
        <v>10003723</v>
      </c>
      <c r="J41" s="682">
        <v>5723</v>
      </c>
      <c r="K41" s="682">
        <v>23723</v>
      </c>
      <c r="L41" s="682">
        <v>56723</v>
      </c>
      <c r="M41" s="682" t="s">
        <v>607</v>
      </c>
      <c r="N41" s="682" t="s">
        <v>608</v>
      </c>
      <c r="O41" s="682">
        <v>235723</v>
      </c>
      <c r="P41" s="682">
        <v>2723</v>
      </c>
      <c r="Q41" s="682">
        <v>66723</v>
      </c>
      <c r="R41" s="731">
        <v>4500000</v>
      </c>
      <c r="S41" s="682">
        <v>202107</v>
      </c>
      <c r="T41" s="682" t="s">
        <v>609</v>
      </c>
    </row>
    <row r="42" spans="1:20" x14ac:dyDescent="0.35">
      <c r="A42" s="682">
        <v>70000003</v>
      </c>
      <c r="B42" s="182" t="s">
        <v>632</v>
      </c>
      <c r="C42" s="682" t="s">
        <v>604</v>
      </c>
      <c r="D42" s="682" t="s">
        <v>605</v>
      </c>
      <c r="E42" s="675">
        <v>125995.82</v>
      </c>
      <c r="F42" s="682" t="s">
        <v>606</v>
      </c>
      <c r="G42" s="682" t="s">
        <v>538</v>
      </c>
      <c r="H42" s="682">
        <v>12132955</v>
      </c>
      <c r="I42" s="682">
        <v>10003723</v>
      </c>
      <c r="J42" s="682">
        <v>5723</v>
      </c>
      <c r="K42" s="682">
        <v>23723</v>
      </c>
      <c r="L42" s="682">
        <v>56723</v>
      </c>
      <c r="M42" s="682" t="s">
        <v>607</v>
      </c>
      <c r="N42" s="682" t="s">
        <v>608</v>
      </c>
      <c r="O42" s="682">
        <v>235723</v>
      </c>
      <c r="P42" s="682">
        <v>2723</v>
      </c>
      <c r="Q42" s="682">
        <v>66723</v>
      </c>
      <c r="R42" s="731">
        <v>1200000</v>
      </c>
      <c r="S42" s="682">
        <v>202107</v>
      </c>
      <c r="T42" s="682" t="s">
        <v>609</v>
      </c>
    </row>
    <row r="43" spans="1:20" x14ac:dyDescent="0.35">
      <c r="A43" s="682">
        <v>70000076</v>
      </c>
      <c r="B43" s="182" t="s">
        <v>632</v>
      </c>
      <c r="C43" s="682" t="s">
        <v>604</v>
      </c>
      <c r="D43" s="682" t="s">
        <v>605</v>
      </c>
      <c r="E43" s="675">
        <v>17856</v>
      </c>
      <c r="F43" s="682" t="s">
        <v>606</v>
      </c>
      <c r="G43" s="682" t="s">
        <v>538</v>
      </c>
      <c r="H43" s="682">
        <v>12132955</v>
      </c>
      <c r="I43" s="682">
        <v>10003723</v>
      </c>
      <c r="J43" s="682">
        <v>5723</v>
      </c>
      <c r="K43" s="682">
        <v>23723</v>
      </c>
      <c r="L43" s="682">
        <v>56723</v>
      </c>
      <c r="M43" s="682" t="s">
        <v>607</v>
      </c>
      <c r="N43" s="682" t="s">
        <v>608</v>
      </c>
      <c r="O43" s="682">
        <v>235723</v>
      </c>
      <c r="P43" s="682">
        <v>2723</v>
      </c>
      <c r="Q43" s="682">
        <v>66723</v>
      </c>
      <c r="R43" s="731">
        <v>1800000</v>
      </c>
      <c r="S43" s="682">
        <v>202107</v>
      </c>
      <c r="T43" s="682" t="s">
        <v>609</v>
      </c>
    </row>
    <row r="44" spans="1:20" x14ac:dyDescent="0.35">
      <c r="A44" s="682">
        <v>70000087</v>
      </c>
      <c r="B44" s="182" t="s">
        <v>633</v>
      </c>
      <c r="C44" s="682" t="s">
        <v>604</v>
      </c>
      <c r="D44" s="682" t="s">
        <v>605</v>
      </c>
      <c r="E44" s="675">
        <v>217974.68</v>
      </c>
      <c r="F44" s="682" t="s">
        <v>606</v>
      </c>
      <c r="G44" s="682" t="s">
        <v>538</v>
      </c>
      <c r="H44" s="682">
        <v>12132955</v>
      </c>
      <c r="I44" s="682">
        <v>10003723</v>
      </c>
      <c r="J44" s="682">
        <v>5723</v>
      </c>
      <c r="K44" s="682">
        <v>23723</v>
      </c>
      <c r="L44" s="682">
        <v>56723</v>
      </c>
      <c r="M44" s="682" t="s">
        <v>607</v>
      </c>
      <c r="N44" s="682" t="s">
        <v>608</v>
      </c>
      <c r="O44" s="682">
        <v>235723</v>
      </c>
      <c r="P44" s="682">
        <v>2723</v>
      </c>
      <c r="Q44" s="682">
        <v>66723</v>
      </c>
      <c r="R44" s="731">
        <v>2100000</v>
      </c>
      <c r="S44" s="682">
        <v>202107</v>
      </c>
      <c r="T44" s="682" t="s">
        <v>609</v>
      </c>
    </row>
    <row r="45" spans="1:20" x14ac:dyDescent="0.35">
      <c r="A45" s="682">
        <v>70000076</v>
      </c>
      <c r="B45" s="182" t="s">
        <v>633</v>
      </c>
      <c r="C45" s="682" t="s">
        <v>604</v>
      </c>
      <c r="D45" s="682" t="s">
        <v>605</v>
      </c>
      <c r="E45" s="675">
        <v>203106.08</v>
      </c>
      <c r="F45" s="682" t="s">
        <v>606</v>
      </c>
      <c r="G45" s="682" t="s">
        <v>538</v>
      </c>
      <c r="H45" s="682">
        <v>12132955</v>
      </c>
      <c r="I45" s="682">
        <v>10003723</v>
      </c>
      <c r="J45" s="682">
        <v>5723</v>
      </c>
      <c r="K45" s="682">
        <v>23723</v>
      </c>
      <c r="L45" s="682">
        <v>56723</v>
      </c>
      <c r="M45" s="682" t="s">
        <v>607</v>
      </c>
      <c r="N45" s="682" t="s">
        <v>608</v>
      </c>
      <c r="O45" s="682">
        <v>235723</v>
      </c>
      <c r="P45" s="682">
        <v>2723</v>
      </c>
      <c r="Q45" s="682">
        <v>66723</v>
      </c>
      <c r="R45" s="731">
        <v>1800000</v>
      </c>
      <c r="S45" s="682">
        <v>202107</v>
      </c>
      <c r="T45" s="682" t="s">
        <v>609</v>
      </c>
    </row>
    <row r="46" spans="1:20" x14ac:dyDescent="0.35">
      <c r="A46" s="682">
        <v>70000200</v>
      </c>
      <c r="B46" s="182" t="s">
        <v>633</v>
      </c>
      <c r="C46" s="682" t="s">
        <v>604</v>
      </c>
      <c r="D46" s="682" t="s">
        <v>605</v>
      </c>
      <c r="E46" s="675">
        <v>64575.19</v>
      </c>
      <c r="F46" s="682" t="s">
        <v>606</v>
      </c>
      <c r="G46" s="682" t="s">
        <v>538</v>
      </c>
      <c r="H46" s="682">
        <v>12132955</v>
      </c>
      <c r="I46" s="682">
        <v>10003723</v>
      </c>
      <c r="J46" s="682">
        <v>5723</v>
      </c>
      <c r="K46" s="682">
        <v>23723</v>
      </c>
      <c r="L46" s="682">
        <v>56723</v>
      </c>
      <c r="M46" s="682" t="s">
        <v>607</v>
      </c>
      <c r="N46" s="682" t="s">
        <v>608</v>
      </c>
      <c r="O46" s="682">
        <v>235723</v>
      </c>
      <c r="P46" s="682">
        <v>2723</v>
      </c>
      <c r="Q46" s="682">
        <v>66723</v>
      </c>
      <c r="R46" s="731" t="s">
        <v>634</v>
      </c>
      <c r="S46" s="682">
        <v>202107</v>
      </c>
      <c r="T46" s="682" t="s">
        <v>609</v>
      </c>
    </row>
    <row r="47" spans="1:20" x14ac:dyDescent="0.35">
      <c r="A47" s="682">
        <v>70000210</v>
      </c>
      <c r="B47" s="182" t="s">
        <v>631</v>
      </c>
      <c r="C47" s="682" t="s">
        <v>604</v>
      </c>
      <c r="D47" s="682" t="s">
        <v>605</v>
      </c>
      <c r="E47" s="675">
        <v>789291.25</v>
      </c>
      <c r="F47" s="682" t="s">
        <v>606</v>
      </c>
      <c r="G47" s="682" t="s">
        <v>538</v>
      </c>
      <c r="H47" s="682">
        <v>12132955</v>
      </c>
      <c r="I47" s="682">
        <v>10003723</v>
      </c>
      <c r="J47" s="682">
        <v>5723</v>
      </c>
      <c r="K47" s="682">
        <v>23723</v>
      </c>
      <c r="L47" s="682">
        <v>56723</v>
      </c>
      <c r="M47" s="682" t="s">
        <v>607</v>
      </c>
      <c r="N47" s="682" t="s">
        <v>608</v>
      </c>
      <c r="O47" s="682">
        <v>235723</v>
      </c>
      <c r="P47" s="682">
        <v>2723</v>
      </c>
      <c r="Q47" s="682">
        <v>66723</v>
      </c>
      <c r="R47" s="731" t="s">
        <v>611</v>
      </c>
      <c r="S47" s="682">
        <v>202107</v>
      </c>
      <c r="T47" s="682" t="s">
        <v>609</v>
      </c>
    </row>
    <row r="48" spans="1:20" x14ac:dyDescent="0.35">
      <c r="A48" s="682">
        <v>70000210</v>
      </c>
      <c r="B48" s="182" t="s">
        <v>631</v>
      </c>
      <c r="C48" s="682" t="s">
        <v>604</v>
      </c>
      <c r="D48" s="682" t="s">
        <v>605</v>
      </c>
      <c r="E48" s="675">
        <v>789291.25</v>
      </c>
      <c r="F48" s="682" t="s">
        <v>606</v>
      </c>
      <c r="G48" s="682" t="s">
        <v>538</v>
      </c>
      <c r="H48" s="682">
        <v>12132955</v>
      </c>
      <c r="I48" s="682">
        <v>10003723</v>
      </c>
      <c r="J48" s="682">
        <v>5723</v>
      </c>
      <c r="K48" s="682">
        <v>23723</v>
      </c>
      <c r="L48" s="682">
        <v>56723</v>
      </c>
      <c r="M48" s="682" t="s">
        <v>607</v>
      </c>
      <c r="N48" s="682" t="s">
        <v>608</v>
      </c>
      <c r="O48" s="682">
        <v>235723</v>
      </c>
      <c r="P48" s="682">
        <v>2723</v>
      </c>
      <c r="Q48" s="682">
        <v>66723</v>
      </c>
      <c r="R48" s="731" t="s">
        <v>611</v>
      </c>
      <c r="S48" s="682">
        <v>202107</v>
      </c>
      <c r="T48" s="682" t="s">
        <v>609</v>
      </c>
    </row>
    <row r="49" spans="1:20" x14ac:dyDescent="0.35">
      <c r="A49" s="682">
        <v>70000079</v>
      </c>
      <c r="B49" s="182" t="s">
        <v>632</v>
      </c>
      <c r="C49" s="682" t="s">
        <v>604</v>
      </c>
      <c r="D49" s="682" t="s">
        <v>605</v>
      </c>
      <c r="E49" s="675">
        <v>462279.52</v>
      </c>
      <c r="F49" s="682" t="s">
        <v>606</v>
      </c>
      <c r="G49" s="682" t="s">
        <v>538</v>
      </c>
      <c r="H49" s="682">
        <v>12132955</v>
      </c>
      <c r="I49" s="682">
        <v>10003723</v>
      </c>
      <c r="J49" s="682">
        <v>5723</v>
      </c>
      <c r="K49" s="682">
        <v>23723</v>
      </c>
      <c r="L49" s="682">
        <v>56723</v>
      </c>
      <c r="M49" s="682" t="s">
        <v>607</v>
      </c>
      <c r="N49" s="682" t="s">
        <v>608</v>
      </c>
      <c r="O49" s="682">
        <v>235723</v>
      </c>
      <c r="P49" s="682">
        <v>2723</v>
      </c>
      <c r="Q49" s="682">
        <v>66723</v>
      </c>
      <c r="R49" s="731">
        <v>2300000</v>
      </c>
      <c r="S49" s="682">
        <v>202107</v>
      </c>
      <c r="T49" s="682" t="s">
        <v>609</v>
      </c>
    </row>
    <row r="50" spans="1:20" x14ac:dyDescent="0.35">
      <c r="A50" s="682">
        <v>70000094</v>
      </c>
      <c r="B50" s="182" t="s">
        <v>632</v>
      </c>
      <c r="C50" s="682" t="s">
        <v>604</v>
      </c>
      <c r="D50" s="682" t="s">
        <v>605</v>
      </c>
      <c r="E50" s="675">
        <v>2949779.78</v>
      </c>
      <c r="F50" s="682" t="s">
        <v>606</v>
      </c>
      <c r="G50" s="682" t="s">
        <v>538</v>
      </c>
      <c r="H50" s="682">
        <v>12132955</v>
      </c>
      <c r="I50" s="682">
        <v>10003723</v>
      </c>
      <c r="J50" s="682">
        <v>5723</v>
      </c>
      <c r="K50" s="682">
        <v>23723</v>
      </c>
      <c r="L50" s="682">
        <v>56723</v>
      </c>
      <c r="M50" s="682" t="s">
        <v>607</v>
      </c>
      <c r="N50" s="682" t="s">
        <v>608</v>
      </c>
      <c r="O50" s="682">
        <v>235723</v>
      </c>
      <c r="P50" s="682">
        <v>2723</v>
      </c>
      <c r="Q50" s="682">
        <v>66723</v>
      </c>
      <c r="R50" s="731">
        <v>4500000</v>
      </c>
      <c r="S50" s="682">
        <v>202107</v>
      </c>
      <c r="T50" s="682" t="s">
        <v>609</v>
      </c>
    </row>
    <row r="51" spans="1:20" x14ac:dyDescent="0.35">
      <c r="A51" s="682">
        <v>70000078</v>
      </c>
      <c r="B51" s="182" t="s">
        <v>631</v>
      </c>
      <c r="C51" s="682" t="s">
        <v>604</v>
      </c>
      <c r="D51" s="682" t="s">
        <v>605</v>
      </c>
      <c r="E51" s="675">
        <v>1812144.61</v>
      </c>
      <c r="F51" s="682" t="s">
        <v>606</v>
      </c>
      <c r="G51" s="682" t="s">
        <v>538</v>
      </c>
      <c r="H51" s="682">
        <v>12132955</v>
      </c>
      <c r="I51" s="682">
        <v>10003723</v>
      </c>
      <c r="J51" s="682">
        <v>5723</v>
      </c>
      <c r="K51" s="682">
        <v>23723</v>
      </c>
      <c r="L51" s="682">
        <v>56723</v>
      </c>
      <c r="M51" s="682" t="s">
        <v>607</v>
      </c>
      <c r="N51" s="682" t="s">
        <v>608</v>
      </c>
      <c r="O51" s="682">
        <v>235723</v>
      </c>
      <c r="P51" s="682">
        <v>2723</v>
      </c>
      <c r="Q51" s="682">
        <v>66723</v>
      </c>
      <c r="R51" s="731">
        <v>9600000</v>
      </c>
      <c r="S51" s="682">
        <v>202107</v>
      </c>
      <c r="T51" s="682" t="s">
        <v>609</v>
      </c>
    </row>
    <row r="52" spans="1:20" x14ac:dyDescent="0.35">
      <c r="A52" s="682">
        <v>70000089</v>
      </c>
      <c r="B52" s="182" t="s">
        <v>627</v>
      </c>
      <c r="C52" s="682" t="s">
        <v>604</v>
      </c>
      <c r="D52" s="682" t="s">
        <v>605</v>
      </c>
      <c r="E52" s="675">
        <v>2512436.67</v>
      </c>
      <c r="F52" s="682" t="s">
        <v>606</v>
      </c>
      <c r="G52" s="682" t="s">
        <v>538</v>
      </c>
      <c r="H52" s="682">
        <v>12132955</v>
      </c>
      <c r="I52" s="682">
        <v>10003723</v>
      </c>
      <c r="J52" s="682">
        <v>5723</v>
      </c>
      <c r="K52" s="682">
        <v>23723</v>
      </c>
      <c r="L52" s="682">
        <v>56723</v>
      </c>
      <c r="M52" s="682" t="s">
        <v>607</v>
      </c>
      <c r="N52" s="682" t="s">
        <v>608</v>
      </c>
      <c r="O52" s="682">
        <v>235723</v>
      </c>
      <c r="P52" s="682">
        <v>2723</v>
      </c>
      <c r="Q52" s="682">
        <v>66723</v>
      </c>
      <c r="R52" s="731" t="s">
        <v>554</v>
      </c>
      <c r="S52" s="682">
        <v>202107</v>
      </c>
      <c r="T52" s="682" t="s">
        <v>609</v>
      </c>
    </row>
    <row r="53" spans="1:20" x14ac:dyDescent="0.35">
      <c r="A53" s="682">
        <v>70000005</v>
      </c>
      <c r="B53" s="182" t="s">
        <v>632</v>
      </c>
      <c r="C53" s="682" t="s">
        <v>604</v>
      </c>
      <c r="D53" s="682" t="s">
        <v>605</v>
      </c>
      <c r="E53" s="675">
        <v>1269095.96</v>
      </c>
      <c r="F53" s="682" t="s">
        <v>606</v>
      </c>
      <c r="G53" s="682" t="s">
        <v>538</v>
      </c>
      <c r="H53" s="682">
        <v>12132955</v>
      </c>
      <c r="I53" s="682">
        <v>10003723</v>
      </c>
      <c r="J53" s="682">
        <v>5723</v>
      </c>
      <c r="K53" s="682">
        <v>23723</v>
      </c>
      <c r="L53" s="682">
        <v>56723</v>
      </c>
      <c r="M53" s="682" t="s">
        <v>607</v>
      </c>
      <c r="N53" s="682" t="s">
        <v>608</v>
      </c>
      <c r="O53" s="682">
        <v>235723</v>
      </c>
      <c r="P53" s="682">
        <v>2723</v>
      </c>
      <c r="Q53" s="682">
        <v>66723</v>
      </c>
      <c r="R53" s="731">
        <v>7800000</v>
      </c>
      <c r="S53" s="682">
        <v>202107</v>
      </c>
      <c r="T53" s="682" t="s">
        <v>609</v>
      </c>
    </row>
    <row r="54" spans="1:20" x14ac:dyDescent="0.35">
      <c r="A54" s="682">
        <v>70000060</v>
      </c>
      <c r="B54" s="182" t="s">
        <v>632</v>
      </c>
      <c r="C54" s="682" t="s">
        <v>604</v>
      </c>
      <c r="D54" s="682" t="s">
        <v>605</v>
      </c>
      <c r="E54" s="675">
        <v>259129.98</v>
      </c>
      <c r="F54" s="682" t="s">
        <v>606</v>
      </c>
      <c r="G54" s="682" t="s">
        <v>538</v>
      </c>
      <c r="H54" s="682">
        <v>12132955</v>
      </c>
      <c r="I54" s="682">
        <v>10003723</v>
      </c>
      <c r="J54" s="682">
        <v>5723</v>
      </c>
      <c r="K54" s="682">
        <v>23723</v>
      </c>
      <c r="L54" s="682">
        <v>56723</v>
      </c>
      <c r="M54" s="682" t="s">
        <v>607</v>
      </c>
      <c r="N54" s="682" t="s">
        <v>608</v>
      </c>
      <c r="O54" s="682">
        <v>235723</v>
      </c>
      <c r="P54" s="682">
        <v>2723</v>
      </c>
      <c r="Q54" s="682">
        <v>66723</v>
      </c>
      <c r="R54" s="731">
        <v>600000</v>
      </c>
      <c r="S54" s="682">
        <v>202107</v>
      </c>
      <c r="T54" s="682" t="s">
        <v>609</v>
      </c>
    </row>
    <row r="55" spans="1:20" x14ac:dyDescent="0.35">
      <c r="A55" s="682">
        <v>70000089</v>
      </c>
      <c r="B55" s="182" t="s">
        <v>632</v>
      </c>
      <c r="C55" s="682" t="s">
        <v>604</v>
      </c>
      <c r="D55" s="682" t="s">
        <v>605</v>
      </c>
      <c r="E55" s="675">
        <v>46131.37</v>
      </c>
      <c r="F55" s="682" t="s">
        <v>606</v>
      </c>
      <c r="G55" s="682" t="s">
        <v>538</v>
      </c>
      <c r="H55" s="682">
        <v>12132955</v>
      </c>
      <c r="I55" s="682">
        <v>10003723</v>
      </c>
      <c r="J55" s="682">
        <v>5723</v>
      </c>
      <c r="K55" s="682">
        <v>23723</v>
      </c>
      <c r="L55" s="682">
        <v>56723</v>
      </c>
      <c r="M55" s="682" t="s">
        <v>607</v>
      </c>
      <c r="N55" s="682" t="s">
        <v>608</v>
      </c>
      <c r="O55" s="682">
        <v>235723</v>
      </c>
      <c r="P55" s="682">
        <v>2723</v>
      </c>
      <c r="Q55" s="682">
        <v>66723</v>
      </c>
      <c r="R55" s="731" t="s">
        <v>554</v>
      </c>
      <c r="S55" s="682">
        <v>202107</v>
      </c>
      <c r="T55" s="682" t="s">
        <v>609</v>
      </c>
    </row>
    <row r="56" spans="1:20" x14ac:dyDescent="0.35">
      <c r="A56" s="682">
        <v>70000094</v>
      </c>
      <c r="B56" s="182" t="s">
        <v>633</v>
      </c>
      <c r="C56" s="682" t="s">
        <v>604</v>
      </c>
      <c r="D56" s="682" t="s">
        <v>605</v>
      </c>
      <c r="E56" s="675">
        <v>1300876.1399999999</v>
      </c>
      <c r="F56" s="682" t="s">
        <v>606</v>
      </c>
      <c r="G56" s="682" t="s">
        <v>538</v>
      </c>
      <c r="H56" s="682">
        <v>12132955</v>
      </c>
      <c r="I56" s="682">
        <v>10003723</v>
      </c>
      <c r="J56" s="682">
        <v>5723</v>
      </c>
      <c r="K56" s="682">
        <v>23723</v>
      </c>
      <c r="L56" s="682">
        <v>56723</v>
      </c>
      <c r="M56" s="682" t="s">
        <v>607</v>
      </c>
      <c r="N56" s="682" t="s">
        <v>608</v>
      </c>
      <c r="O56" s="682">
        <v>235723</v>
      </c>
      <c r="P56" s="682">
        <v>2723</v>
      </c>
      <c r="Q56" s="682">
        <v>66723</v>
      </c>
      <c r="R56" s="731">
        <v>4500000</v>
      </c>
      <c r="S56" s="682">
        <v>202107</v>
      </c>
      <c r="T56" s="682" t="s">
        <v>609</v>
      </c>
    </row>
    <row r="57" spans="1:20" x14ac:dyDescent="0.35">
      <c r="A57" s="642">
        <v>70000024</v>
      </c>
      <c r="B57" s="737" t="s">
        <v>620</v>
      </c>
      <c r="C57" s="642" t="s">
        <v>604</v>
      </c>
      <c r="D57" s="642" t="s">
        <v>605</v>
      </c>
      <c r="E57" s="738">
        <v>1321230.55</v>
      </c>
      <c r="F57" s="642" t="s">
        <v>606</v>
      </c>
      <c r="G57" s="682" t="s">
        <v>538</v>
      </c>
      <c r="H57" s="682">
        <v>12132955</v>
      </c>
      <c r="I57" s="682">
        <v>10003723</v>
      </c>
      <c r="J57" s="682">
        <v>5723</v>
      </c>
      <c r="K57" s="682">
        <v>23723</v>
      </c>
      <c r="L57" s="682">
        <v>56723</v>
      </c>
      <c r="M57" s="682" t="s">
        <v>607</v>
      </c>
      <c r="N57" s="682" t="s">
        <v>608</v>
      </c>
      <c r="O57" s="682">
        <v>235723</v>
      </c>
      <c r="P57" s="682">
        <v>2723</v>
      </c>
      <c r="Q57" s="682">
        <v>66723</v>
      </c>
      <c r="R57" s="736" t="s">
        <v>551</v>
      </c>
      <c r="S57" s="682">
        <v>202107</v>
      </c>
      <c r="T57" s="682" t="s">
        <v>609</v>
      </c>
    </row>
    <row r="58" spans="1:20" x14ac:dyDescent="0.35">
      <c r="A58" s="682">
        <v>70000018</v>
      </c>
      <c r="B58" s="182" t="s">
        <v>630</v>
      </c>
      <c r="C58" s="682" t="s">
        <v>604</v>
      </c>
      <c r="D58" s="682" t="s">
        <v>605</v>
      </c>
      <c r="E58" s="675">
        <v>7379793.2300000004</v>
      </c>
      <c r="F58" s="682" t="s">
        <v>606</v>
      </c>
      <c r="G58" s="682" t="s">
        <v>538</v>
      </c>
      <c r="H58" s="682">
        <v>12132955</v>
      </c>
      <c r="I58" s="682">
        <v>10003723</v>
      </c>
      <c r="J58" s="682">
        <v>5723</v>
      </c>
      <c r="K58" s="682">
        <v>23723</v>
      </c>
      <c r="L58" s="682">
        <v>56723</v>
      </c>
      <c r="M58" s="682" t="s">
        <v>607</v>
      </c>
      <c r="N58" s="682" t="s">
        <v>608</v>
      </c>
      <c r="O58" s="682">
        <v>235723</v>
      </c>
      <c r="P58" s="682">
        <v>2723</v>
      </c>
      <c r="Q58" s="682">
        <v>66723</v>
      </c>
      <c r="R58" s="731" t="s">
        <v>559</v>
      </c>
      <c r="S58" s="682">
        <v>202107</v>
      </c>
      <c r="T58" s="682" t="s">
        <v>609</v>
      </c>
    </row>
    <row r="59" spans="1:20" x14ac:dyDescent="0.35">
      <c r="A59" s="682">
        <v>70000064</v>
      </c>
      <c r="B59" s="182" t="s">
        <v>630</v>
      </c>
      <c r="C59" s="682" t="s">
        <v>604</v>
      </c>
      <c r="D59" s="682" t="s">
        <v>605</v>
      </c>
      <c r="E59" s="675">
        <v>191773.52</v>
      </c>
      <c r="F59" s="682" t="s">
        <v>606</v>
      </c>
      <c r="G59" s="682" t="s">
        <v>538</v>
      </c>
      <c r="H59" s="682">
        <v>12132955</v>
      </c>
      <c r="I59" s="682">
        <v>10003723</v>
      </c>
      <c r="J59" s="682">
        <v>5723</v>
      </c>
      <c r="K59" s="682">
        <v>23723</v>
      </c>
      <c r="L59" s="682">
        <v>56723</v>
      </c>
      <c r="M59" s="682" t="s">
        <v>607</v>
      </c>
      <c r="N59" s="682" t="s">
        <v>608</v>
      </c>
      <c r="O59" s="682">
        <v>235723</v>
      </c>
      <c r="P59" s="682">
        <v>2723</v>
      </c>
      <c r="Q59" s="682">
        <v>66723</v>
      </c>
      <c r="R59" s="731">
        <v>2400000</v>
      </c>
      <c r="S59" s="682">
        <v>202107</v>
      </c>
      <c r="T59" s="682" t="s">
        <v>609</v>
      </c>
    </row>
    <row r="60" spans="1:20" x14ac:dyDescent="0.35">
      <c r="A60" s="682">
        <v>70000094</v>
      </c>
      <c r="B60" s="182" t="s">
        <v>630</v>
      </c>
      <c r="C60" s="682" t="s">
        <v>604</v>
      </c>
      <c r="D60" s="682" t="s">
        <v>605</v>
      </c>
      <c r="E60" s="675">
        <v>931027.15</v>
      </c>
      <c r="F60" s="682" t="s">
        <v>606</v>
      </c>
      <c r="G60" s="682" t="s">
        <v>538</v>
      </c>
      <c r="H60" s="682">
        <v>12132955</v>
      </c>
      <c r="I60" s="682">
        <v>10003723</v>
      </c>
      <c r="J60" s="682">
        <v>5723</v>
      </c>
      <c r="K60" s="682">
        <v>23723</v>
      </c>
      <c r="L60" s="682">
        <v>56723</v>
      </c>
      <c r="M60" s="682" t="s">
        <v>607</v>
      </c>
      <c r="N60" s="682" t="s">
        <v>608</v>
      </c>
      <c r="O60" s="682">
        <v>235723</v>
      </c>
      <c r="P60" s="682">
        <v>2723</v>
      </c>
      <c r="Q60" s="682">
        <v>66723</v>
      </c>
      <c r="R60" s="731">
        <v>4500000</v>
      </c>
      <c r="S60" s="682">
        <v>202107</v>
      </c>
      <c r="T60" s="682" t="s">
        <v>609</v>
      </c>
    </row>
    <row r="61" spans="1:20" x14ac:dyDescent="0.35">
      <c r="A61" s="682">
        <v>70000094</v>
      </c>
      <c r="B61" s="182" t="s">
        <v>630</v>
      </c>
      <c r="C61" s="682" t="s">
        <v>604</v>
      </c>
      <c r="D61" s="682" t="s">
        <v>605</v>
      </c>
      <c r="E61" s="675">
        <v>1277299.8999999999</v>
      </c>
      <c r="F61" s="682" t="s">
        <v>606</v>
      </c>
      <c r="G61" s="682" t="s">
        <v>538</v>
      </c>
      <c r="H61" s="682">
        <v>12132955</v>
      </c>
      <c r="I61" s="682">
        <v>10003723</v>
      </c>
      <c r="J61" s="682">
        <v>5723</v>
      </c>
      <c r="K61" s="682">
        <v>23723</v>
      </c>
      <c r="L61" s="682">
        <v>56723</v>
      </c>
      <c r="M61" s="682" t="s">
        <v>607</v>
      </c>
      <c r="N61" s="682" t="s">
        <v>608</v>
      </c>
      <c r="O61" s="682">
        <v>235723</v>
      </c>
      <c r="P61" s="682">
        <v>2723</v>
      </c>
      <c r="Q61" s="682">
        <v>66723</v>
      </c>
      <c r="R61" s="731">
        <v>4500000</v>
      </c>
      <c r="S61" s="682">
        <v>202107</v>
      </c>
      <c r="T61" s="682" t="s">
        <v>609</v>
      </c>
    </row>
    <row r="62" spans="1:20" x14ac:dyDescent="0.35">
      <c r="A62" s="682">
        <v>70000094</v>
      </c>
      <c r="B62" s="182" t="s">
        <v>635</v>
      </c>
      <c r="C62" s="682" t="s">
        <v>604</v>
      </c>
      <c r="D62" s="682" t="s">
        <v>605</v>
      </c>
      <c r="E62" s="675">
        <v>236339.37</v>
      </c>
      <c r="F62" s="682" t="s">
        <v>606</v>
      </c>
      <c r="G62" s="682" t="s">
        <v>538</v>
      </c>
      <c r="H62" s="682">
        <v>12132955</v>
      </c>
      <c r="I62" s="682">
        <v>10003723</v>
      </c>
      <c r="J62" s="682">
        <v>5723</v>
      </c>
      <c r="K62" s="682">
        <v>23723</v>
      </c>
      <c r="L62" s="682">
        <v>56723</v>
      </c>
      <c r="M62" s="682" t="s">
        <v>607</v>
      </c>
      <c r="N62" s="682" t="s">
        <v>608</v>
      </c>
      <c r="O62" s="682">
        <v>235723</v>
      </c>
      <c r="P62" s="682">
        <v>2723</v>
      </c>
      <c r="Q62" s="682">
        <v>66723</v>
      </c>
      <c r="R62" s="731">
        <v>4500000</v>
      </c>
      <c r="S62" s="682">
        <v>202107</v>
      </c>
      <c r="T62" s="682" t="s">
        <v>609</v>
      </c>
    </row>
    <row r="63" spans="1:20" x14ac:dyDescent="0.35">
      <c r="A63" s="682">
        <v>70000076</v>
      </c>
      <c r="B63" s="182" t="s">
        <v>636</v>
      </c>
      <c r="C63" s="682" t="s">
        <v>604</v>
      </c>
      <c r="D63" s="682" t="s">
        <v>605</v>
      </c>
      <c r="E63" s="675">
        <v>310575.2</v>
      </c>
      <c r="F63" s="682" t="s">
        <v>606</v>
      </c>
      <c r="G63" s="682" t="s">
        <v>538</v>
      </c>
      <c r="H63" s="682">
        <v>12132955</v>
      </c>
      <c r="I63" s="682">
        <v>10003723</v>
      </c>
      <c r="J63" s="682">
        <v>5723</v>
      </c>
      <c r="K63" s="682">
        <v>23723</v>
      </c>
      <c r="L63" s="682">
        <v>56723</v>
      </c>
      <c r="M63" s="682" t="s">
        <v>607</v>
      </c>
      <c r="N63" s="682" t="s">
        <v>608</v>
      </c>
      <c r="O63" s="682">
        <v>235723</v>
      </c>
      <c r="P63" s="682">
        <v>2723</v>
      </c>
      <c r="Q63" s="682">
        <v>66723</v>
      </c>
      <c r="R63" s="731">
        <v>1800000</v>
      </c>
      <c r="S63" s="682">
        <v>202107</v>
      </c>
      <c r="T63" s="682" t="s">
        <v>609</v>
      </c>
    </row>
    <row r="64" spans="1:20" x14ac:dyDescent="0.35">
      <c r="A64" s="682">
        <v>70000003</v>
      </c>
      <c r="B64" s="182" t="s">
        <v>636</v>
      </c>
      <c r="C64" s="682" t="s">
        <v>604</v>
      </c>
      <c r="D64" s="682" t="s">
        <v>605</v>
      </c>
      <c r="E64" s="675">
        <v>331990.67</v>
      </c>
      <c r="F64" s="682" t="s">
        <v>606</v>
      </c>
      <c r="G64" s="682" t="s">
        <v>538</v>
      </c>
      <c r="H64" s="682">
        <v>12132955</v>
      </c>
      <c r="I64" s="682">
        <v>10003723</v>
      </c>
      <c r="J64" s="682">
        <v>5723</v>
      </c>
      <c r="K64" s="682">
        <v>23723</v>
      </c>
      <c r="L64" s="682">
        <v>56723</v>
      </c>
      <c r="M64" s="682" t="s">
        <v>607</v>
      </c>
      <c r="N64" s="682" t="s">
        <v>608</v>
      </c>
      <c r="O64" s="682">
        <v>235723</v>
      </c>
      <c r="P64" s="682">
        <v>2723</v>
      </c>
      <c r="Q64" s="682">
        <v>66723</v>
      </c>
      <c r="R64" s="731">
        <v>1200000</v>
      </c>
      <c r="S64" s="682">
        <v>202107</v>
      </c>
      <c r="T64" s="682" t="s">
        <v>609</v>
      </c>
    </row>
    <row r="65" spans="1:20" x14ac:dyDescent="0.35">
      <c r="A65" s="682">
        <v>70000088</v>
      </c>
      <c r="B65" s="182" t="s">
        <v>636</v>
      </c>
      <c r="C65" s="682" t="s">
        <v>604</v>
      </c>
      <c r="D65" s="682" t="s">
        <v>605</v>
      </c>
      <c r="E65" s="675">
        <v>184438.56</v>
      </c>
      <c r="F65" s="682" t="s">
        <v>606</v>
      </c>
      <c r="G65" s="682" t="s">
        <v>538</v>
      </c>
      <c r="H65" s="682">
        <v>12132955</v>
      </c>
      <c r="I65" s="682">
        <v>10003723</v>
      </c>
      <c r="J65" s="682">
        <v>5723</v>
      </c>
      <c r="K65" s="682">
        <v>23723</v>
      </c>
      <c r="L65" s="682">
        <v>56723</v>
      </c>
      <c r="M65" s="682" t="s">
        <v>607</v>
      </c>
      <c r="N65" s="682" t="s">
        <v>608</v>
      </c>
      <c r="O65" s="682">
        <v>235723</v>
      </c>
      <c r="P65" s="682">
        <v>2723</v>
      </c>
      <c r="Q65" s="682">
        <v>66723</v>
      </c>
      <c r="R65" s="731" t="s">
        <v>564</v>
      </c>
      <c r="S65" s="682">
        <v>202107</v>
      </c>
      <c r="T65" s="682" t="s">
        <v>609</v>
      </c>
    </row>
    <row r="66" spans="1:20" x14ac:dyDescent="0.35">
      <c r="A66" s="682">
        <v>70000081</v>
      </c>
      <c r="B66" s="182" t="s">
        <v>636</v>
      </c>
      <c r="C66" s="682" t="s">
        <v>604</v>
      </c>
      <c r="D66" s="682" t="s">
        <v>605</v>
      </c>
      <c r="E66" s="675">
        <v>7947</v>
      </c>
      <c r="F66" s="682" t="s">
        <v>606</v>
      </c>
      <c r="G66" s="682" t="s">
        <v>538</v>
      </c>
      <c r="H66" s="682">
        <v>12132955</v>
      </c>
      <c r="I66" s="682">
        <v>10003723</v>
      </c>
      <c r="J66" s="682">
        <v>5723</v>
      </c>
      <c r="K66" s="682">
        <v>23723</v>
      </c>
      <c r="L66" s="682">
        <v>56723</v>
      </c>
      <c r="M66" s="682" t="s">
        <v>607</v>
      </c>
      <c r="N66" s="682" t="s">
        <v>608</v>
      </c>
      <c r="O66" s="682">
        <v>235723</v>
      </c>
      <c r="P66" s="682">
        <v>2723</v>
      </c>
      <c r="Q66" s="682">
        <v>66723</v>
      </c>
      <c r="R66" s="731">
        <v>3500000</v>
      </c>
      <c r="S66" s="682">
        <v>202107</v>
      </c>
      <c r="T66" s="682" t="s">
        <v>609</v>
      </c>
    </row>
    <row r="67" spans="1:20" x14ac:dyDescent="0.35">
      <c r="A67" s="682">
        <v>70000021</v>
      </c>
      <c r="B67" s="182" t="s">
        <v>636</v>
      </c>
      <c r="C67" s="682" t="s">
        <v>604</v>
      </c>
      <c r="D67" s="682" t="s">
        <v>605</v>
      </c>
      <c r="E67" s="675">
        <v>1826931.48</v>
      </c>
      <c r="F67" s="682" t="s">
        <v>606</v>
      </c>
      <c r="G67" s="682" t="s">
        <v>538</v>
      </c>
      <c r="H67" s="682">
        <v>12132955</v>
      </c>
      <c r="I67" s="682">
        <v>10003723</v>
      </c>
      <c r="J67" s="682">
        <v>5723</v>
      </c>
      <c r="K67" s="682">
        <v>23723</v>
      </c>
      <c r="L67" s="682">
        <v>56723</v>
      </c>
      <c r="M67" s="682" t="s">
        <v>607</v>
      </c>
      <c r="N67" s="682" t="s">
        <v>608</v>
      </c>
      <c r="O67" s="682">
        <v>235723</v>
      </c>
      <c r="P67" s="682">
        <v>2723</v>
      </c>
      <c r="Q67" s="682">
        <v>66723</v>
      </c>
      <c r="R67" s="731" t="s">
        <v>637</v>
      </c>
      <c r="S67" s="682">
        <v>202107</v>
      </c>
      <c r="T67" s="682" t="s">
        <v>609</v>
      </c>
    </row>
    <row r="68" spans="1:20" x14ac:dyDescent="0.35">
      <c r="A68" s="682">
        <v>70000027</v>
      </c>
      <c r="B68" s="182" t="s">
        <v>636</v>
      </c>
      <c r="C68" s="682" t="s">
        <v>604</v>
      </c>
      <c r="D68" s="682" t="s">
        <v>605</v>
      </c>
      <c r="E68" s="675">
        <v>1351822.03</v>
      </c>
      <c r="F68" s="682" t="s">
        <v>606</v>
      </c>
      <c r="G68" s="682" t="s">
        <v>538</v>
      </c>
      <c r="H68" s="682">
        <v>12132955</v>
      </c>
      <c r="I68" s="682">
        <v>10003723</v>
      </c>
      <c r="J68" s="682">
        <v>5723</v>
      </c>
      <c r="K68" s="682">
        <v>23723</v>
      </c>
      <c r="L68" s="682">
        <v>56723</v>
      </c>
      <c r="M68" s="682" t="s">
        <v>607</v>
      </c>
      <c r="N68" s="682" t="s">
        <v>608</v>
      </c>
      <c r="O68" s="682">
        <v>235723</v>
      </c>
      <c r="P68" s="682">
        <v>2723</v>
      </c>
      <c r="Q68" s="682">
        <v>66723</v>
      </c>
      <c r="R68" s="731" t="s">
        <v>638</v>
      </c>
      <c r="S68" s="682">
        <v>202107</v>
      </c>
      <c r="T68" s="682" t="s">
        <v>609</v>
      </c>
    </row>
    <row r="69" spans="1:20" x14ac:dyDescent="0.35">
      <c r="A69" s="682">
        <v>70000003</v>
      </c>
      <c r="B69" s="182" t="s">
        <v>636</v>
      </c>
      <c r="C69" s="682" t="s">
        <v>604</v>
      </c>
      <c r="D69" s="682" t="s">
        <v>605</v>
      </c>
      <c r="E69" s="675">
        <v>206203.86</v>
      </c>
      <c r="F69" s="682" t="s">
        <v>606</v>
      </c>
      <c r="G69" s="682" t="s">
        <v>538</v>
      </c>
      <c r="H69" s="682">
        <v>12132955</v>
      </c>
      <c r="I69" s="682">
        <v>10003723</v>
      </c>
      <c r="J69" s="682">
        <v>5723</v>
      </c>
      <c r="K69" s="682">
        <v>23723</v>
      </c>
      <c r="L69" s="682">
        <v>56723</v>
      </c>
      <c r="M69" s="682" t="s">
        <v>607</v>
      </c>
      <c r="N69" s="682" t="s">
        <v>608</v>
      </c>
      <c r="O69" s="682">
        <v>235723</v>
      </c>
      <c r="P69" s="682">
        <v>2723</v>
      </c>
      <c r="Q69" s="682">
        <v>66723</v>
      </c>
      <c r="R69" s="731">
        <v>1200000</v>
      </c>
      <c r="S69" s="682">
        <v>202107</v>
      </c>
      <c r="T69" s="682" t="s">
        <v>609</v>
      </c>
    </row>
    <row r="70" spans="1:20" x14ac:dyDescent="0.35">
      <c r="A70" s="682">
        <v>70000190</v>
      </c>
      <c r="B70" s="182" t="s">
        <v>636</v>
      </c>
      <c r="C70" s="682" t="s">
        <v>604</v>
      </c>
      <c r="D70" s="682" t="s">
        <v>605</v>
      </c>
      <c r="E70" s="675">
        <v>96271.09</v>
      </c>
      <c r="F70" s="682" t="s">
        <v>606</v>
      </c>
      <c r="G70" s="682" t="s">
        <v>538</v>
      </c>
      <c r="H70" s="682">
        <v>12132955</v>
      </c>
      <c r="I70" s="682">
        <v>10003723</v>
      </c>
      <c r="J70" s="682">
        <v>5723</v>
      </c>
      <c r="K70" s="682">
        <v>23723</v>
      </c>
      <c r="L70" s="682">
        <v>56723</v>
      </c>
      <c r="M70" s="682" t="s">
        <v>607</v>
      </c>
      <c r="N70" s="682" t="s">
        <v>608</v>
      </c>
      <c r="O70" s="682">
        <v>235723</v>
      </c>
      <c r="P70" s="682">
        <v>2723</v>
      </c>
      <c r="Q70" s="682">
        <v>66723</v>
      </c>
      <c r="R70" s="731">
        <v>6001000</v>
      </c>
      <c r="S70" s="682">
        <v>202107</v>
      </c>
      <c r="T70" s="682" t="s">
        <v>609</v>
      </c>
    </row>
    <row r="71" spans="1:20" x14ac:dyDescent="0.35">
      <c r="A71" s="682">
        <v>70000195</v>
      </c>
      <c r="B71" s="182" t="s">
        <v>636</v>
      </c>
      <c r="C71" s="682" t="s">
        <v>604</v>
      </c>
      <c r="D71" s="682" t="s">
        <v>605</v>
      </c>
      <c r="E71" s="675">
        <v>6443.37</v>
      </c>
      <c r="F71" s="682" t="s">
        <v>606</v>
      </c>
      <c r="G71" s="682" t="s">
        <v>538</v>
      </c>
      <c r="H71" s="682">
        <v>12132955</v>
      </c>
      <c r="I71" s="682">
        <v>10003723</v>
      </c>
      <c r="J71" s="682">
        <v>5723</v>
      </c>
      <c r="K71" s="682">
        <v>23723</v>
      </c>
      <c r="L71" s="682">
        <v>56723</v>
      </c>
      <c r="M71" s="682" t="s">
        <v>607</v>
      </c>
      <c r="N71" s="682" t="s">
        <v>608</v>
      </c>
      <c r="O71" s="682">
        <v>235723</v>
      </c>
      <c r="P71" s="682">
        <v>2723</v>
      </c>
      <c r="Q71" s="682">
        <v>66723</v>
      </c>
      <c r="R71" s="731">
        <v>4900000</v>
      </c>
      <c r="S71" s="682">
        <v>202107</v>
      </c>
      <c r="T71" s="682" t="s">
        <v>609</v>
      </c>
    </row>
    <row r="72" spans="1:20" x14ac:dyDescent="0.35">
      <c r="A72" s="682">
        <v>70000080</v>
      </c>
      <c r="B72" s="182" t="s">
        <v>636</v>
      </c>
      <c r="C72" s="682" t="s">
        <v>604</v>
      </c>
      <c r="D72" s="682" t="s">
        <v>605</v>
      </c>
      <c r="E72" s="675">
        <v>80284.87</v>
      </c>
      <c r="F72" s="682" t="s">
        <v>606</v>
      </c>
      <c r="G72" s="682" t="s">
        <v>538</v>
      </c>
      <c r="H72" s="682">
        <v>12132955</v>
      </c>
      <c r="I72" s="682">
        <v>10003723</v>
      </c>
      <c r="J72" s="682">
        <v>5723</v>
      </c>
      <c r="K72" s="682">
        <v>23723</v>
      </c>
      <c r="L72" s="682">
        <v>56723</v>
      </c>
      <c r="M72" s="682" t="s">
        <v>607</v>
      </c>
      <c r="N72" s="682" t="s">
        <v>608</v>
      </c>
      <c r="O72" s="682">
        <v>235723</v>
      </c>
      <c r="P72" s="682">
        <v>2723</v>
      </c>
      <c r="Q72" s="682">
        <v>66723</v>
      </c>
      <c r="R72" s="731">
        <v>1600000</v>
      </c>
      <c r="S72" s="682">
        <v>202107</v>
      </c>
      <c r="T72" s="682" t="s">
        <v>609</v>
      </c>
    </row>
    <row r="73" spans="1:20" x14ac:dyDescent="0.35">
      <c r="A73" s="682">
        <v>70000023</v>
      </c>
      <c r="B73" s="182" t="s">
        <v>636</v>
      </c>
      <c r="C73" s="682" t="s">
        <v>604</v>
      </c>
      <c r="D73" s="682" t="s">
        <v>605</v>
      </c>
      <c r="E73" s="675">
        <v>6717948.3099999996</v>
      </c>
      <c r="F73" s="682" t="s">
        <v>606</v>
      </c>
      <c r="G73" s="682" t="s">
        <v>538</v>
      </c>
      <c r="H73" s="682">
        <v>12132955</v>
      </c>
      <c r="I73" s="682">
        <v>10003723</v>
      </c>
      <c r="J73" s="682">
        <v>5723</v>
      </c>
      <c r="K73" s="682">
        <v>23723</v>
      </c>
      <c r="L73" s="682">
        <v>56723</v>
      </c>
      <c r="M73" s="682" t="s">
        <v>607</v>
      </c>
      <c r="N73" s="682" t="s">
        <v>608</v>
      </c>
      <c r="O73" s="682">
        <v>235723</v>
      </c>
      <c r="P73" s="682">
        <v>2723</v>
      </c>
      <c r="Q73" s="682">
        <v>66723</v>
      </c>
      <c r="R73" s="731" t="s">
        <v>618</v>
      </c>
      <c r="S73" s="682">
        <v>202107</v>
      </c>
      <c r="T73" s="682" t="s">
        <v>609</v>
      </c>
    </row>
    <row r="74" spans="1:20" x14ac:dyDescent="0.35">
      <c r="A74" s="682">
        <v>70000029</v>
      </c>
      <c r="B74" s="182" t="s">
        <v>636</v>
      </c>
      <c r="C74" s="682" t="s">
        <v>604</v>
      </c>
      <c r="D74" s="682" t="s">
        <v>605</v>
      </c>
      <c r="E74" s="675">
        <v>17356745</v>
      </c>
      <c r="F74" s="682" t="s">
        <v>606</v>
      </c>
      <c r="G74" s="682" t="s">
        <v>538</v>
      </c>
      <c r="H74" s="682">
        <v>12132955</v>
      </c>
      <c r="I74" s="682">
        <v>10003723</v>
      </c>
      <c r="J74" s="682">
        <v>5723</v>
      </c>
      <c r="K74" s="682">
        <v>23723</v>
      </c>
      <c r="L74" s="682">
        <v>56723</v>
      </c>
      <c r="M74" s="682" t="s">
        <v>607</v>
      </c>
      <c r="N74" s="682" t="s">
        <v>608</v>
      </c>
      <c r="O74" s="682">
        <v>235723</v>
      </c>
      <c r="P74" s="682">
        <v>2723</v>
      </c>
      <c r="Q74" s="682">
        <v>66723</v>
      </c>
      <c r="R74" s="731" t="s">
        <v>545</v>
      </c>
      <c r="S74" s="682">
        <v>202107</v>
      </c>
      <c r="T74" s="682" t="s">
        <v>609</v>
      </c>
    </row>
    <row r="75" spans="1:20" x14ac:dyDescent="0.35">
      <c r="A75" s="682">
        <v>70000019</v>
      </c>
      <c r="B75" s="182" t="s">
        <v>636</v>
      </c>
      <c r="C75" s="682" t="s">
        <v>604</v>
      </c>
      <c r="D75" s="682" t="s">
        <v>605</v>
      </c>
      <c r="E75" s="675">
        <v>685892.11</v>
      </c>
      <c r="F75" s="682" t="s">
        <v>606</v>
      </c>
      <c r="G75" s="682" t="s">
        <v>538</v>
      </c>
      <c r="H75" s="682">
        <v>12132955</v>
      </c>
      <c r="I75" s="682">
        <v>10003723</v>
      </c>
      <c r="J75" s="682">
        <v>5723</v>
      </c>
      <c r="K75" s="682">
        <v>23723</v>
      </c>
      <c r="L75" s="682">
        <v>56723</v>
      </c>
      <c r="M75" s="682" t="s">
        <v>607</v>
      </c>
      <c r="N75" s="682" t="s">
        <v>608</v>
      </c>
      <c r="O75" s="682">
        <v>235723</v>
      </c>
      <c r="P75" s="682">
        <v>2723</v>
      </c>
      <c r="Q75" s="682">
        <v>66723</v>
      </c>
      <c r="R75" s="731" t="s">
        <v>562</v>
      </c>
      <c r="S75" s="682">
        <v>202107</v>
      </c>
      <c r="T75" s="682" t="s">
        <v>609</v>
      </c>
    </row>
    <row r="76" spans="1:20" x14ac:dyDescent="0.35">
      <c r="E76" s="675">
        <f>SUBTOTAL(9,E2:E75)</f>
        <v>98592676.75000003</v>
      </c>
    </row>
  </sheetData>
  <autoFilter ref="A1:T75" xr:uid="{00000000-0009-0000-0000-000010000000}"/>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56"/>
  <sheetViews>
    <sheetView topLeftCell="A61" workbookViewId="0">
      <selection activeCell="I73" sqref="I73"/>
    </sheetView>
  </sheetViews>
  <sheetFormatPr defaultRowHeight="18.5" x14ac:dyDescent="0.45"/>
  <cols>
    <col min="1" max="1" width="19.36328125" style="463" customWidth="1"/>
    <col min="2" max="2" width="21" style="463" customWidth="1"/>
    <col min="3" max="3" width="20.36328125" style="649" customWidth="1"/>
    <col min="4" max="4" width="51.90625" style="649" hidden="1" customWidth="1"/>
    <col min="5" max="5" width="29.08984375" style="463" customWidth="1"/>
    <col min="6" max="6" width="38.08984375" style="463" customWidth="1"/>
    <col min="7" max="7" width="25.36328125" style="652" customWidth="1"/>
  </cols>
  <sheetData>
    <row r="1" spans="1:7" s="683" customFormat="1" x14ac:dyDescent="0.45">
      <c r="A1" s="463"/>
      <c r="B1" s="463"/>
      <c r="C1" s="649"/>
      <c r="D1" s="649"/>
      <c r="E1" s="739" t="s">
        <v>527</v>
      </c>
      <c r="F1" s="740"/>
      <c r="G1" s="652"/>
    </row>
    <row r="2" spans="1:7" x14ac:dyDescent="0.45">
      <c r="D2" s="741"/>
      <c r="E2" s="742" t="s">
        <v>639</v>
      </c>
      <c r="F2" s="743"/>
      <c r="G2" s="744"/>
    </row>
    <row r="3" spans="1:7" s="683" customFormat="1" x14ac:dyDescent="0.45">
      <c r="A3" s="745"/>
      <c r="B3" s="463"/>
      <c r="C3" s="649"/>
      <c r="D3" s="649"/>
      <c r="E3" s="463"/>
      <c r="F3" s="463"/>
      <c r="G3" s="652"/>
    </row>
    <row r="4" spans="1:7" s="682" customFormat="1" x14ac:dyDescent="0.45">
      <c r="A4" s="746"/>
      <c r="B4" s="746"/>
      <c r="C4" s="747"/>
      <c r="D4" s="747"/>
      <c r="E4" s="746"/>
      <c r="F4" s="746"/>
      <c r="G4" s="748"/>
    </row>
    <row r="5" spans="1:7" x14ac:dyDescent="0.45">
      <c r="A5" s="746" t="s">
        <v>528</v>
      </c>
      <c r="B5" s="749" t="s">
        <v>529</v>
      </c>
      <c r="C5" s="750" t="s">
        <v>530</v>
      </c>
      <c r="D5" s="750" t="s">
        <v>640</v>
      </c>
      <c r="E5" s="746" t="s">
        <v>531</v>
      </c>
      <c r="F5" s="746" t="s">
        <v>533</v>
      </c>
      <c r="G5" s="748" t="s">
        <v>534</v>
      </c>
    </row>
    <row r="6" spans="1:7" s="683" customFormat="1" x14ac:dyDescent="0.45">
      <c r="A6" s="746" t="s">
        <v>535</v>
      </c>
      <c r="B6" s="660" t="s">
        <v>641</v>
      </c>
      <c r="C6" s="751">
        <v>7800000</v>
      </c>
      <c r="D6" s="751"/>
      <c r="E6" s="659" t="s">
        <v>642</v>
      </c>
      <c r="F6" s="659" t="s">
        <v>538</v>
      </c>
      <c r="G6" s="752">
        <v>1245459.8999999999</v>
      </c>
    </row>
    <row r="7" spans="1:7" s="682" customFormat="1" x14ac:dyDescent="0.45">
      <c r="A7" s="746" t="s">
        <v>535</v>
      </c>
      <c r="B7" s="660" t="s">
        <v>641</v>
      </c>
      <c r="C7" s="751">
        <v>4500000</v>
      </c>
      <c r="D7" s="751"/>
      <c r="E7" s="659" t="s">
        <v>642</v>
      </c>
      <c r="F7" s="659" t="s">
        <v>538</v>
      </c>
      <c r="G7" s="752">
        <v>1005742.33</v>
      </c>
    </row>
    <row r="8" spans="1:7" x14ac:dyDescent="0.45">
      <c r="A8" s="746" t="s">
        <v>535</v>
      </c>
      <c r="B8" s="660" t="s">
        <v>641</v>
      </c>
      <c r="C8" s="751" t="s">
        <v>555</v>
      </c>
      <c r="D8" s="751"/>
      <c r="E8" s="659" t="s">
        <v>642</v>
      </c>
      <c r="F8" s="659" t="s">
        <v>538</v>
      </c>
      <c r="G8" s="752">
        <v>8347967.54</v>
      </c>
    </row>
    <row r="9" spans="1:7" x14ac:dyDescent="0.45">
      <c r="A9" s="746" t="s">
        <v>535</v>
      </c>
      <c r="B9" s="753" t="s">
        <v>643</v>
      </c>
      <c r="C9" s="751">
        <v>700000</v>
      </c>
      <c r="D9" s="751"/>
      <c r="E9" s="659" t="s">
        <v>642</v>
      </c>
      <c r="F9" s="659" t="s">
        <v>538</v>
      </c>
      <c r="G9" s="752">
        <v>631551.49</v>
      </c>
    </row>
    <row r="10" spans="1:7" x14ac:dyDescent="0.45">
      <c r="A10" s="746" t="s">
        <v>535</v>
      </c>
      <c r="B10" s="753" t="s">
        <v>641</v>
      </c>
      <c r="C10" s="751">
        <v>1800000</v>
      </c>
      <c r="D10" s="751"/>
      <c r="E10" s="659" t="s">
        <v>642</v>
      </c>
      <c r="F10" s="659" t="s">
        <v>538</v>
      </c>
      <c r="G10" s="752">
        <v>181129.04</v>
      </c>
    </row>
    <row r="11" spans="1:7" x14ac:dyDescent="0.45">
      <c r="A11" s="746" t="s">
        <v>535</v>
      </c>
      <c r="B11" s="753" t="s">
        <v>641</v>
      </c>
      <c r="C11" s="751">
        <v>2600000</v>
      </c>
      <c r="D11" s="751"/>
      <c r="E11" s="659" t="s">
        <v>642</v>
      </c>
      <c r="F11" s="659" t="s">
        <v>538</v>
      </c>
      <c r="G11" s="752">
        <v>881890.2</v>
      </c>
    </row>
    <row r="12" spans="1:7" x14ac:dyDescent="0.45">
      <c r="A12" s="746" t="s">
        <v>535</v>
      </c>
      <c r="B12" s="753" t="s">
        <v>641</v>
      </c>
      <c r="C12" s="751" t="s">
        <v>543</v>
      </c>
      <c r="D12" s="751"/>
      <c r="E12" s="659" t="s">
        <v>642</v>
      </c>
      <c r="F12" s="659" t="s">
        <v>538</v>
      </c>
      <c r="G12" s="752">
        <v>752700.19</v>
      </c>
    </row>
    <row r="13" spans="1:7" x14ac:dyDescent="0.45">
      <c r="A13" s="746" t="s">
        <v>535</v>
      </c>
      <c r="B13" s="753" t="s">
        <v>644</v>
      </c>
      <c r="C13" s="751">
        <v>4200000</v>
      </c>
      <c r="D13" s="751"/>
      <c r="E13" s="659" t="s">
        <v>642</v>
      </c>
      <c r="F13" s="659" t="s">
        <v>538</v>
      </c>
      <c r="G13" s="752">
        <v>61301.36</v>
      </c>
    </row>
    <row r="14" spans="1:7" x14ac:dyDescent="0.45">
      <c r="A14" s="746" t="s">
        <v>535</v>
      </c>
      <c r="B14" s="753" t="s">
        <v>644</v>
      </c>
      <c r="C14" s="751">
        <v>1800000</v>
      </c>
      <c r="D14" s="751"/>
      <c r="E14" s="659" t="s">
        <v>642</v>
      </c>
      <c r="F14" s="659" t="s">
        <v>538</v>
      </c>
      <c r="G14" s="752">
        <v>178123.7</v>
      </c>
    </row>
    <row r="15" spans="1:7" s="683" customFormat="1" x14ac:dyDescent="0.45">
      <c r="A15" s="746" t="s">
        <v>535</v>
      </c>
      <c r="B15" s="753" t="s">
        <v>644</v>
      </c>
      <c r="C15" s="751">
        <v>4500000</v>
      </c>
      <c r="D15" s="751"/>
      <c r="E15" s="659" t="s">
        <v>642</v>
      </c>
      <c r="F15" s="659" t="s">
        <v>538</v>
      </c>
      <c r="G15" s="752">
        <v>779401.55</v>
      </c>
    </row>
    <row r="16" spans="1:7" s="682" customFormat="1" x14ac:dyDescent="0.45">
      <c r="A16" s="746" t="s">
        <v>535</v>
      </c>
      <c r="B16" s="753" t="s">
        <v>645</v>
      </c>
      <c r="C16" s="751">
        <v>1400000</v>
      </c>
      <c r="D16" s="751"/>
      <c r="E16" s="659" t="s">
        <v>642</v>
      </c>
      <c r="F16" s="659" t="s">
        <v>538</v>
      </c>
      <c r="G16" s="752">
        <v>89053.89</v>
      </c>
    </row>
    <row r="17" spans="1:7" x14ac:dyDescent="0.45">
      <c r="A17" s="746" t="s">
        <v>535</v>
      </c>
      <c r="B17" s="753" t="s">
        <v>645</v>
      </c>
      <c r="C17" s="751" t="s">
        <v>646</v>
      </c>
      <c r="D17" s="751"/>
      <c r="E17" s="659" t="s">
        <v>642</v>
      </c>
      <c r="F17" s="659" t="s">
        <v>538</v>
      </c>
      <c r="G17" s="752">
        <v>246960.16</v>
      </c>
    </row>
    <row r="18" spans="1:7" x14ac:dyDescent="0.45">
      <c r="A18" s="746" t="s">
        <v>535</v>
      </c>
      <c r="B18" s="753" t="s">
        <v>645</v>
      </c>
      <c r="C18" s="751">
        <v>4500000</v>
      </c>
      <c r="D18" s="751"/>
      <c r="E18" s="659" t="s">
        <v>642</v>
      </c>
      <c r="F18" s="659" t="s">
        <v>538</v>
      </c>
      <c r="G18" s="752">
        <v>457721.26</v>
      </c>
    </row>
    <row r="19" spans="1:7" x14ac:dyDescent="0.45">
      <c r="A19" s="746" t="s">
        <v>535</v>
      </c>
      <c r="B19" s="753" t="s">
        <v>647</v>
      </c>
      <c r="C19" s="751">
        <v>4500000</v>
      </c>
      <c r="D19" s="751"/>
      <c r="E19" s="659" t="s">
        <v>642</v>
      </c>
      <c r="F19" s="659" t="s">
        <v>538</v>
      </c>
      <c r="G19" s="752">
        <v>1252417.3600000001</v>
      </c>
    </row>
    <row r="20" spans="1:7" x14ac:dyDescent="0.45">
      <c r="A20" s="746" t="s">
        <v>535</v>
      </c>
      <c r="B20" s="753" t="s">
        <v>648</v>
      </c>
      <c r="C20" s="751">
        <v>2300000</v>
      </c>
      <c r="D20" s="751"/>
      <c r="E20" s="659" t="s">
        <v>642</v>
      </c>
      <c r="F20" s="659" t="s">
        <v>538</v>
      </c>
      <c r="G20" s="752">
        <v>326914.49</v>
      </c>
    </row>
    <row r="21" spans="1:7" x14ac:dyDescent="0.45">
      <c r="A21" s="746" t="s">
        <v>535</v>
      </c>
      <c r="B21" s="753" t="s">
        <v>649</v>
      </c>
      <c r="C21" s="751" t="s">
        <v>551</v>
      </c>
      <c r="D21" s="751"/>
      <c r="E21" s="659" t="s">
        <v>642</v>
      </c>
      <c r="F21" s="659" t="s">
        <v>538</v>
      </c>
      <c r="G21" s="752">
        <v>1364854.07</v>
      </c>
    </row>
    <row r="22" spans="1:7" s="683" customFormat="1" x14ac:dyDescent="0.45">
      <c r="A22" s="746" t="s">
        <v>535</v>
      </c>
      <c r="B22" s="753" t="s">
        <v>649</v>
      </c>
      <c r="C22" s="751" t="s">
        <v>556</v>
      </c>
      <c r="D22" s="751"/>
      <c r="E22" s="659" t="s">
        <v>642</v>
      </c>
      <c r="F22" s="659" t="s">
        <v>538</v>
      </c>
      <c r="G22" s="752">
        <v>462706.81</v>
      </c>
    </row>
    <row r="23" spans="1:7" s="682" customFormat="1" x14ac:dyDescent="0.45">
      <c r="A23" s="746" t="s">
        <v>535</v>
      </c>
      <c r="B23" s="753" t="s">
        <v>649</v>
      </c>
      <c r="C23" s="751" t="s">
        <v>542</v>
      </c>
      <c r="D23" s="751"/>
      <c r="E23" s="659" t="s">
        <v>642</v>
      </c>
      <c r="F23" s="659" t="s">
        <v>538</v>
      </c>
      <c r="G23" s="752">
        <v>979241.06</v>
      </c>
    </row>
    <row r="24" spans="1:7" x14ac:dyDescent="0.45">
      <c r="A24" s="746" t="s">
        <v>535</v>
      </c>
      <c r="B24" s="753" t="s">
        <v>650</v>
      </c>
      <c r="C24" s="751" t="s">
        <v>541</v>
      </c>
      <c r="D24" s="751"/>
      <c r="E24" s="659" t="s">
        <v>642</v>
      </c>
      <c r="F24" s="659" t="s">
        <v>538</v>
      </c>
      <c r="G24" s="752">
        <v>1474077.03</v>
      </c>
    </row>
    <row r="25" spans="1:7" x14ac:dyDescent="0.45">
      <c r="A25" s="746" t="s">
        <v>535</v>
      </c>
      <c r="B25" s="753" t="s">
        <v>651</v>
      </c>
      <c r="C25" s="751" t="s">
        <v>562</v>
      </c>
      <c r="D25" s="751"/>
      <c r="E25" s="659" t="s">
        <v>642</v>
      </c>
      <c r="F25" s="659" t="s">
        <v>538</v>
      </c>
      <c r="G25" s="752">
        <v>1125483.5</v>
      </c>
    </row>
    <row r="26" spans="1:7" x14ac:dyDescent="0.45">
      <c r="A26" s="746" t="s">
        <v>535</v>
      </c>
      <c r="B26" s="753" t="s">
        <v>651</v>
      </c>
      <c r="C26" s="751" t="s">
        <v>554</v>
      </c>
      <c r="D26" s="751"/>
      <c r="E26" s="659" t="s">
        <v>642</v>
      </c>
      <c r="F26" s="659" t="s">
        <v>538</v>
      </c>
      <c r="G26" s="752">
        <v>2551178.56</v>
      </c>
    </row>
    <row r="27" spans="1:7" x14ac:dyDescent="0.45">
      <c r="A27" s="746" t="s">
        <v>535</v>
      </c>
      <c r="B27" s="753" t="s">
        <v>651</v>
      </c>
      <c r="C27" s="751">
        <v>1800000</v>
      </c>
      <c r="D27" s="751"/>
      <c r="E27" s="659" t="s">
        <v>642</v>
      </c>
      <c r="F27" s="659" t="s">
        <v>538</v>
      </c>
      <c r="G27" s="752">
        <v>143565.89000000001</v>
      </c>
    </row>
    <row r="28" spans="1:7" x14ac:dyDescent="0.45">
      <c r="A28" s="746" t="s">
        <v>535</v>
      </c>
      <c r="B28" s="753" t="s">
        <v>651</v>
      </c>
      <c r="C28" s="751">
        <v>4500000</v>
      </c>
      <c r="D28" s="751"/>
      <c r="E28" s="659" t="s">
        <v>642</v>
      </c>
      <c r="F28" s="659" t="s">
        <v>538</v>
      </c>
      <c r="G28" s="752">
        <v>825812.57</v>
      </c>
    </row>
    <row r="29" spans="1:7" x14ac:dyDescent="0.45">
      <c r="A29" s="746" t="s">
        <v>535</v>
      </c>
      <c r="B29" s="753" t="s">
        <v>652</v>
      </c>
      <c r="C29" s="754">
        <v>1600000</v>
      </c>
      <c r="D29" s="754"/>
      <c r="E29" s="659" t="s">
        <v>642</v>
      </c>
      <c r="F29" s="659" t="s">
        <v>538</v>
      </c>
      <c r="G29" s="752">
        <v>75425.17</v>
      </c>
    </row>
    <row r="30" spans="1:7" s="683" customFormat="1" x14ac:dyDescent="0.45">
      <c r="A30" s="746" t="s">
        <v>535</v>
      </c>
      <c r="B30" s="753" t="s">
        <v>652</v>
      </c>
      <c r="C30" s="754">
        <v>6701400</v>
      </c>
      <c r="D30" s="754"/>
      <c r="E30" s="659" t="s">
        <v>642</v>
      </c>
      <c r="F30" s="659" t="s">
        <v>538</v>
      </c>
      <c r="G30" s="752">
        <v>973875.41</v>
      </c>
    </row>
    <row r="31" spans="1:7" s="682" customFormat="1" x14ac:dyDescent="0.45">
      <c r="A31" s="746" t="s">
        <v>535</v>
      </c>
      <c r="B31" s="753" t="s">
        <v>643</v>
      </c>
      <c r="C31" s="754" t="s">
        <v>637</v>
      </c>
      <c r="D31" s="754"/>
      <c r="E31" s="659" t="s">
        <v>642</v>
      </c>
      <c r="F31" s="659" t="s">
        <v>538</v>
      </c>
      <c r="G31" s="752">
        <v>3958080.33</v>
      </c>
    </row>
    <row r="32" spans="1:7" x14ac:dyDescent="0.45">
      <c r="A32" s="746" t="s">
        <v>535</v>
      </c>
      <c r="B32" s="478" t="s">
        <v>643</v>
      </c>
      <c r="C32" s="754" t="s">
        <v>634</v>
      </c>
      <c r="D32" s="754"/>
      <c r="E32" s="659" t="s">
        <v>642</v>
      </c>
      <c r="F32" s="659" t="s">
        <v>538</v>
      </c>
      <c r="G32" s="752">
        <v>22188.880000000001</v>
      </c>
    </row>
    <row r="33" spans="1:7" x14ac:dyDescent="0.45">
      <c r="A33" s="746" t="s">
        <v>535</v>
      </c>
      <c r="B33" s="478" t="s">
        <v>643</v>
      </c>
      <c r="C33" s="754" t="s">
        <v>624</v>
      </c>
      <c r="D33" s="754"/>
      <c r="E33" s="659" t="s">
        <v>642</v>
      </c>
      <c r="F33" s="659" t="s">
        <v>538</v>
      </c>
      <c r="G33" s="752">
        <v>23324.15</v>
      </c>
    </row>
    <row r="34" spans="1:7" x14ac:dyDescent="0.45">
      <c r="A34" s="746" t="s">
        <v>535</v>
      </c>
      <c r="B34" s="478" t="s">
        <v>643</v>
      </c>
      <c r="C34" s="754">
        <v>1800000</v>
      </c>
      <c r="D34" s="754"/>
      <c r="E34" s="659" t="s">
        <v>642</v>
      </c>
      <c r="F34" s="659" t="s">
        <v>538</v>
      </c>
      <c r="G34" s="752">
        <v>41986.89</v>
      </c>
    </row>
    <row r="35" spans="1:7" x14ac:dyDescent="0.45">
      <c r="A35" s="746" t="s">
        <v>535</v>
      </c>
      <c r="B35" s="478" t="s">
        <v>643</v>
      </c>
      <c r="C35" s="754">
        <v>2100000</v>
      </c>
      <c r="D35" s="754"/>
      <c r="E35" s="659" t="s">
        <v>642</v>
      </c>
      <c r="F35" s="659" t="s">
        <v>538</v>
      </c>
      <c r="G35" s="752">
        <v>187349.27</v>
      </c>
    </row>
    <row r="36" spans="1:7" x14ac:dyDescent="0.45">
      <c r="A36" s="746" t="s">
        <v>535</v>
      </c>
      <c r="B36" s="478" t="s">
        <v>643</v>
      </c>
      <c r="C36" s="754">
        <v>4500000</v>
      </c>
      <c r="D36" s="754"/>
      <c r="E36" s="659" t="s">
        <v>642</v>
      </c>
      <c r="F36" s="659" t="s">
        <v>538</v>
      </c>
      <c r="G36" s="752">
        <v>199073.72</v>
      </c>
    </row>
    <row r="37" spans="1:7" x14ac:dyDescent="0.45">
      <c r="A37" s="746" t="s">
        <v>535</v>
      </c>
      <c r="B37" s="478" t="s">
        <v>643</v>
      </c>
      <c r="C37" s="754" t="s">
        <v>552</v>
      </c>
      <c r="D37" s="754"/>
      <c r="E37" s="659" t="s">
        <v>642</v>
      </c>
      <c r="F37" s="659" t="s">
        <v>538</v>
      </c>
      <c r="G37" s="752">
        <v>15386.26</v>
      </c>
    </row>
    <row r="38" spans="1:7" s="683" customFormat="1" x14ac:dyDescent="0.45">
      <c r="A38" s="746" t="s">
        <v>535</v>
      </c>
      <c r="B38" s="753" t="s">
        <v>653</v>
      </c>
      <c r="C38" s="754">
        <v>4200000</v>
      </c>
      <c r="D38" s="754"/>
      <c r="E38" s="659" t="s">
        <v>642</v>
      </c>
      <c r="F38" s="659" t="s">
        <v>538</v>
      </c>
      <c r="G38" s="752">
        <v>5119508.74</v>
      </c>
    </row>
    <row r="39" spans="1:7" s="682" customFormat="1" x14ac:dyDescent="0.45">
      <c r="A39" s="746" t="s">
        <v>535</v>
      </c>
      <c r="B39" s="753" t="s">
        <v>653</v>
      </c>
      <c r="C39" s="755" t="s">
        <v>545</v>
      </c>
      <c r="D39" s="755"/>
      <c r="E39" s="659" t="s">
        <v>642</v>
      </c>
      <c r="F39" s="659" t="s">
        <v>538</v>
      </c>
      <c r="G39" s="752">
        <v>14419353.74</v>
      </c>
    </row>
    <row r="40" spans="1:7" x14ac:dyDescent="0.45">
      <c r="A40" s="746" t="s">
        <v>535</v>
      </c>
      <c r="B40" s="753" t="s">
        <v>653</v>
      </c>
      <c r="C40" s="755">
        <v>1200000</v>
      </c>
      <c r="D40" s="755"/>
      <c r="E40" s="659" t="s">
        <v>642</v>
      </c>
      <c r="F40" s="659" t="s">
        <v>538</v>
      </c>
      <c r="G40" s="756">
        <v>59851.27</v>
      </c>
    </row>
    <row r="41" spans="1:7" x14ac:dyDescent="0.45">
      <c r="A41" s="746" t="s">
        <v>535</v>
      </c>
      <c r="B41" s="753" t="s">
        <v>653</v>
      </c>
      <c r="C41" s="755">
        <v>4500000</v>
      </c>
      <c r="D41" s="755"/>
      <c r="E41" s="659" t="s">
        <v>642</v>
      </c>
      <c r="F41" s="659" t="s">
        <v>538</v>
      </c>
      <c r="G41" s="756">
        <v>474343.49</v>
      </c>
    </row>
    <row r="42" spans="1:7" x14ac:dyDescent="0.45">
      <c r="A42" s="746" t="s">
        <v>535</v>
      </c>
      <c r="B42" s="753" t="s">
        <v>653</v>
      </c>
      <c r="C42" s="755" t="s">
        <v>654</v>
      </c>
      <c r="D42" s="755"/>
      <c r="E42" s="659" t="s">
        <v>642</v>
      </c>
      <c r="F42" s="659" t="s">
        <v>538</v>
      </c>
      <c r="G42" s="756">
        <v>55845.66</v>
      </c>
    </row>
    <row r="43" spans="1:7" x14ac:dyDescent="0.45">
      <c r="A43" s="746" t="s">
        <v>535</v>
      </c>
      <c r="B43" s="753" t="s">
        <v>653</v>
      </c>
      <c r="C43" s="755" t="s">
        <v>629</v>
      </c>
      <c r="D43" s="755"/>
      <c r="E43" s="659" t="s">
        <v>642</v>
      </c>
      <c r="F43" s="659" t="s">
        <v>538</v>
      </c>
      <c r="G43" s="756">
        <v>247295</v>
      </c>
    </row>
    <row r="44" spans="1:7" s="683" customFormat="1" x14ac:dyDescent="0.45">
      <c r="A44" s="746" t="s">
        <v>535</v>
      </c>
      <c r="B44" s="753" t="s">
        <v>653</v>
      </c>
      <c r="C44" s="755" t="s">
        <v>543</v>
      </c>
      <c r="D44" s="755"/>
      <c r="E44" s="659" t="s">
        <v>642</v>
      </c>
      <c r="F44" s="659" t="s">
        <v>538</v>
      </c>
      <c r="G44" s="756">
        <v>635018.19999999995</v>
      </c>
    </row>
    <row r="45" spans="1:7" s="682" customFormat="1" x14ac:dyDescent="0.45">
      <c r="A45" s="746" t="s">
        <v>535</v>
      </c>
      <c r="B45" s="753" t="s">
        <v>655</v>
      </c>
      <c r="C45" s="755" t="s">
        <v>554</v>
      </c>
      <c r="D45" s="755"/>
      <c r="E45" s="659" t="s">
        <v>642</v>
      </c>
      <c r="F45" s="659" t="s">
        <v>538</v>
      </c>
      <c r="G45" s="756">
        <v>1213510.93</v>
      </c>
    </row>
    <row r="46" spans="1:7" x14ac:dyDescent="0.45">
      <c r="A46" s="746" t="s">
        <v>535</v>
      </c>
      <c r="B46" s="753" t="s">
        <v>655</v>
      </c>
      <c r="C46" s="755" t="s">
        <v>561</v>
      </c>
      <c r="D46" s="755"/>
      <c r="E46" s="659" t="s">
        <v>642</v>
      </c>
      <c r="F46" s="659" t="s">
        <v>538</v>
      </c>
      <c r="G46" s="756">
        <v>85297.79</v>
      </c>
    </row>
    <row r="47" spans="1:7" x14ac:dyDescent="0.45">
      <c r="A47" s="757" t="s">
        <v>535</v>
      </c>
      <c r="B47" s="753" t="s">
        <v>655</v>
      </c>
      <c r="C47" s="758" t="s">
        <v>564</v>
      </c>
      <c r="D47" s="758"/>
      <c r="E47" s="659" t="s">
        <v>642</v>
      </c>
      <c r="F47" s="666" t="s">
        <v>538</v>
      </c>
      <c r="G47" s="759">
        <v>176801.6</v>
      </c>
    </row>
    <row r="48" spans="1:7" x14ac:dyDescent="0.45">
      <c r="A48" s="746" t="s">
        <v>535</v>
      </c>
      <c r="B48" s="753" t="s">
        <v>655</v>
      </c>
      <c r="C48" s="755" t="s">
        <v>611</v>
      </c>
      <c r="D48" s="755"/>
      <c r="E48" s="659" t="s">
        <v>642</v>
      </c>
      <c r="F48" s="659" t="s">
        <v>538</v>
      </c>
      <c r="G48" s="756">
        <v>775199.35</v>
      </c>
    </row>
    <row r="49" spans="1:7" x14ac:dyDescent="0.45">
      <c r="A49" s="757" t="s">
        <v>535</v>
      </c>
      <c r="B49" s="753" t="s">
        <v>655</v>
      </c>
      <c r="C49" s="755">
        <v>9600000</v>
      </c>
      <c r="D49" s="755"/>
      <c r="E49" s="659" t="s">
        <v>642</v>
      </c>
      <c r="F49" s="666" t="s">
        <v>538</v>
      </c>
      <c r="G49" s="756">
        <v>864218.26</v>
      </c>
    </row>
    <row r="50" spans="1:7" x14ac:dyDescent="0.45">
      <c r="A50" s="746" t="s">
        <v>535</v>
      </c>
      <c r="B50" s="753" t="s">
        <v>656</v>
      </c>
      <c r="C50" s="755" t="s">
        <v>657</v>
      </c>
      <c r="D50" s="755"/>
      <c r="E50" s="659" t="s">
        <v>642</v>
      </c>
      <c r="F50" s="659" t="s">
        <v>538</v>
      </c>
      <c r="G50" s="756">
        <v>6280.02</v>
      </c>
    </row>
    <row r="51" spans="1:7" x14ac:dyDescent="0.45">
      <c r="A51" s="757" t="s">
        <v>535</v>
      </c>
      <c r="B51" s="753" t="s">
        <v>656</v>
      </c>
      <c r="C51" s="755">
        <v>1800000</v>
      </c>
      <c r="D51" s="755"/>
      <c r="E51" s="659" t="s">
        <v>642</v>
      </c>
      <c r="F51" s="666" t="s">
        <v>538</v>
      </c>
      <c r="G51" s="756">
        <v>120216.9</v>
      </c>
    </row>
    <row r="52" spans="1:7" x14ac:dyDescent="0.45">
      <c r="A52" s="746" t="s">
        <v>535</v>
      </c>
      <c r="B52" s="753" t="s">
        <v>656</v>
      </c>
      <c r="C52" s="755" t="s">
        <v>611</v>
      </c>
      <c r="D52" s="755"/>
      <c r="E52" s="659" t="s">
        <v>642</v>
      </c>
      <c r="F52" s="659" t="s">
        <v>538</v>
      </c>
      <c r="G52" s="756">
        <v>775199.35</v>
      </c>
    </row>
    <row r="53" spans="1:7" x14ac:dyDescent="0.45">
      <c r="A53" s="757" t="s">
        <v>535</v>
      </c>
      <c r="B53" s="753" t="s">
        <v>656</v>
      </c>
      <c r="C53" s="755" t="s">
        <v>629</v>
      </c>
      <c r="D53" s="755"/>
      <c r="E53" s="659" t="s">
        <v>642</v>
      </c>
      <c r="F53" s="666" t="s">
        <v>538</v>
      </c>
      <c r="G53" s="756">
        <v>272743.37</v>
      </c>
    </row>
    <row r="54" spans="1:7" s="683" customFormat="1" x14ac:dyDescent="0.45">
      <c r="A54" s="746" t="s">
        <v>535</v>
      </c>
      <c r="B54" s="753" t="s">
        <v>658</v>
      </c>
      <c r="C54" s="755">
        <v>4500000</v>
      </c>
      <c r="D54" s="755"/>
      <c r="E54" s="659" t="s">
        <v>642</v>
      </c>
      <c r="F54" s="659" t="s">
        <v>538</v>
      </c>
      <c r="G54" s="756">
        <v>1601533.4</v>
      </c>
    </row>
    <row r="55" spans="1:7" s="682" customFormat="1" x14ac:dyDescent="0.45">
      <c r="A55" s="757" t="s">
        <v>535</v>
      </c>
      <c r="B55" s="753" t="s">
        <v>658</v>
      </c>
      <c r="C55" s="755" t="s">
        <v>559</v>
      </c>
      <c r="D55" s="755"/>
      <c r="E55" s="659" t="s">
        <v>642</v>
      </c>
      <c r="F55" s="666" t="s">
        <v>538</v>
      </c>
      <c r="G55" s="756">
        <v>6460026.9699999997</v>
      </c>
    </row>
    <row r="56" spans="1:7" x14ac:dyDescent="0.45">
      <c r="A56" s="746" t="s">
        <v>535</v>
      </c>
      <c r="B56" s="753" t="s">
        <v>658</v>
      </c>
      <c r="C56" s="755" t="s">
        <v>545</v>
      </c>
      <c r="D56" s="755"/>
      <c r="E56" s="659" t="s">
        <v>642</v>
      </c>
      <c r="F56" s="659" t="s">
        <v>538</v>
      </c>
      <c r="G56" s="756">
        <v>3929696.64</v>
      </c>
    </row>
    <row r="57" spans="1:7" x14ac:dyDescent="0.45">
      <c r="A57" s="757" t="s">
        <v>535</v>
      </c>
      <c r="B57" s="753" t="s">
        <v>658</v>
      </c>
      <c r="C57" s="755">
        <v>1400000</v>
      </c>
      <c r="D57" s="755"/>
      <c r="E57" s="659" t="s">
        <v>642</v>
      </c>
      <c r="F57" s="666" t="s">
        <v>538</v>
      </c>
      <c r="G57" s="756">
        <v>88652.9</v>
      </c>
    </row>
    <row r="58" spans="1:7" x14ac:dyDescent="0.45">
      <c r="A58" s="746" t="s">
        <v>535</v>
      </c>
      <c r="B58" s="753" t="s">
        <v>658</v>
      </c>
      <c r="C58" s="755">
        <v>1800000</v>
      </c>
      <c r="D58" s="755"/>
      <c r="E58" s="659" t="s">
        <v>642</v>
      </c>
      <c r="F58" s="659" t="s">
        <v>538</v>
      </c>
      <c r="G58" s="756">
        <v>173040.95</v>
      </c>
    </row>
    <row r="59" spans="1:7" x14ac:dyDescent="0.45">
      <c r="A59" s="757" t="s">
        <v>535</v>
      </c>
      <c r="B59" s="753" t="s">
        <v>659</v>
      </c>
      <c r="C59" s="755">
        <v>4000000</v>
      </c>
      <c r="D59" s="755"/>
      <c r="E59" s="659" t="s">
        <v>642</v>
      </c>
      <c r="F59" s="666" t="s">
        <v>538</v>
      </c>
      <c r="G59" s="756">
        <v>211558.01</v>
      </c>
    </row>
    <row r="60" spans="1:7" x14ac:dyDescent="0.45">
      <c r="A60" s="746" t="s">
        <v>535</v>
      </c>
      <c r="B60" s="753" t="s">
        <v>659</v>
      </c>
      <c r="C60" s="755">
        <v>2400000</v>
      </c>
      <c r="D60" s="755"/>
      <c r="E60" s="659" t="s">
        <v>642</v>
      </c>
      <c r="F60" s="659" t="s">
        <v>538</v>
      </c>
      <c r="G60" s="756">
        <v>178276.4</v>
      </c>
    </row>
    <row r="61" spans="1:7" x14ac:dyDescent="0.45">
      <c r="A61" s="757" t="s">
        <v>535</v>
      </c>
      <c r="B61" s="753" t="s">
        <v>660</v>
      </c>
      <c r="C61" s="755">
        <v>3700000</v>
      </c>
      <c r="D61" s="755"/>
      <c r="E61" s="659" t="s">
        <v>642</v>
      </c>
      <c r="F61" s="666" t="s">
        <v>538</v>
      </c>
      <c r="G61" s="756">
        <v>1059365.6200000001</v>
      </c>
    </row>
    <row r="62" spans="1:7" x14ac:dyDescent="0.45">
      <c r="A62" s="746" t="s">
        <v>535</v>
      </c>
      <c r="B62" s="753" t="s">
        <v>660</v>
      </c>
      <c r="C62" s="755">
        <v>1200000</v>
      </c>
      <c r="D62" s="755"/>
      <c r="E62" s="659" t="s">
        <v>642</v>
      </c>
      <c r="F62" s="659" t="s">
        <v>538</v>
      </c>
      <c r="G62" s="756">
        <v>85088.56</v>
      </c>
    </row>
    <row r="63" spans="1:7" s="683" customFormat="1" x14ac:dyDescent="0.45">
      <c r="A63" s="757" t="s">
        <v>535</v>
      </c>
      <c r="B63" s="753" t="s">
        <v>660</v>
      </c>
      <c r="C63" s="755" t="s">
        <v>615</v>
      </c>
      <c r="D63" s="755"/>
      <c r="E63" s="659" t="s">
        <v>642</v>
      </c>
      <c r="F63" s="666" t="s">
        <v>538</v>
      </c>
      <c r="G63" s="756">
        <v>157473.45000000001</v>
      </c>
    </row>
    <row r="64" spans="1:7" s="682" customFormat="1" x14ac:dyDescent="0.45">
      <c r="A64" s="746" t="s">
        <v>535</v>
      </c>
      <c r="B64" s="753" t="s">
        <v>660</v>
      </c>
      <c r="C64" s="755">
        <v>6001000</v>
      </c>
      <c r="D64" s="755"/>
      <c r="E64" s="659" t="s">
        <v>642</v>
      </c>
      <c r="F64" s="659" t="s">
        <v>538</v>
      </c>
      <c r="G64" s="756">
        <v>316299.8</v>
      </c>
    </row>
    <row r="65" spans="1:7" x14ac:dyDescent="0.45">
      <c r="A65" s="757" t="s">
        <v>535</v>
      </c>
      <c r="B65" s="753" t="s">
        <v>661</v>
      </c>
      <c r="C65" s="755">
        <v>4500000</v>
      </c>
      <c r="D65" s="755"/>
      <c r="E65" s="659" t="s">
        <v>642</v>
      </c>
      <c r="F65" s="666" t="s">
        <v>538</v>
      </c>
      <c r="G65" s="756">
        <v>497556.75</v>
      </c>
    </row>
    <row r="66" spans="1:7" x14ac:dyDescent="0.45">
      <c r="A66" s="746" t="s">
        <v>535</v>
      </c>
      <c r="B66" s="753" t="s">
        <v>662</v>
      </c>
      <c r="C66" s="755" t="s">
        <v>618</v>
      </c>
      <c r="D66" s="755"/>
      <c r="E66" s="659" t="s">
        <v>642</v>
      </c>
      <c r="F66" s="659" t="s">
        <v>538</v>
      </c>
      <c r="G66" s="756">
        <v>7168460.0700000003</v>
      </c>
    </row>
    <row r="67" spans="1:7" x14ac:dyDescent="0.45">
      <c r="A67" s="757" t="s">
        <v>535</v>
      </c>
      <c r="B67" s="753" t="s">
        <v>662</v>
      </c>
      <c r="C67" s="755">
        <v>4500000</v>
      </c>
      <c r="D67" s="755"/>
      <c r="E67" s="659" t="s">
        <v>642</v>
      </c>
      <c r="F67" s="666" t="s">
        <v>538</v>
      </c>
      <c r="G67" s="756">
        <v>63799.8</v>
      </c>
    </row>
    <row r="68" spans="1:7" x14ac:dyDescent="0.45">
      <c r="A68" s="746" t="s">
        <v>535</v>
      </c>
      <c r="B68" s="753" t="s">
        <v>662</v>
      </c>
      <c r="C68" s="755" t="s">
        <v>562</v>
      </c>
      <c r="D68" s="755"/>
      <c r="E68" s="659" t="s">
        <v>642</v>
      </c>
      <c r="F68" s="659" t="s">
        <v>538</v>
      </c>
      <c r="G68" s="756">
        <v>925901.8</v>
      </c>
    </row>
    <row r="69" spans="1:7" x14ac:dyDescent="0.45">
      <c r="A69" s="757" t="s">
        <v>535</v>
      </c>
      <c r="B69" s="753" t="s">
        <v>662</v>
      </c>
      <c r="C69" s="755" t="s">
        <v>638</v>
      </c>
      <c r="D69" s="755"/>
      <c r="E69" s="659" t="s">
        <v>642</v>
      </c>
      <c r="F69" s="666" t="s">
        <v>538</v>
      </c>
      <c r="G69" s="756">
        <v>409180.12</v>
      </c>
    </row>
    <row r="70" spans="1:7" x14ac:dyDescent="0.45">
      <c r="A70" s="746" t="s">
        <v>535</v>
      </c>
      <c r="B70" s="753" t="s">
        <v>663</v>
      </c>
      <c r="C70" s="755">
        <v>4000000</v>
      </c>
      <c r="D70" s="755"/>
      <c r="E70" s="659" t="s">
        <v>642</v>
      </c>
      <c r="F70" s="659" t="s">
        <v>538</v>
      </c>
      <c r="G70" s="756">
        <v>432126.56</v>
      </c>
    </row>
    <row r="71" spans="1:7" s="683" customFormat="1" x14ac:dyDescent="0.45">
      <c r="A71" s="757" t="s">
        <v>535</v>
      </c>
      <c r="B71" s="753" t="s">
        <v>664</v>
      </c>
      <c r="C71" s="755">
        <v>3500000</v>
      </c>
      <c r="D71" s="755"/>
      <c r="E71" s="659" t="s">
        <v>642</v>
      </c>
      <c r="F71" s="666" t="s">
        <v>538</v>
      </c>
      <c r="G71" s="756">
        <v>9825.4</v>
      </c>
    </row>
    <row r="72" spans="1:7" s="682" customFormat="1" x14ac:dyDescent="0.45">
      <c r="A72" s="746" t="s">
        <v>665</v>
      </c>
      <c r="B72" s="760"/>
      <c r="C72" s="761"/>
      <c r="D72" s="761"/>
      <c r="E72" s="746"/>
      <c r="F72" s="746"/>
      <c r="G72" s="630">
        <f>SUM(G6:G71)</f>
        <v>79930490.900000036</v>
      </c>
    </row>
    <row r="79" spans="1:7" s="683" customFormat="1" x14ac:dyDescent="0.45">
      <c r="A79" s="463"/>
      <c r="B79" s="463"/>
      <c r="C79" s="649"/>
      <c r="D79" s="649"/>
      <c r="E79" s="463"/>
      <c r="F79" s="463"/>
      <c r="G79" s="652"/>
    </row>
    <row r="80" spans="1:7" s="682" customFormat="1" x14ac:dyDescent="0.45">
      <c r="A80" s="463"/>
      <c r="B80" s="463"/>
      <c r="C80" s="649"/>
      <c r="D80" s="649"/>
      <c r="E80" s="463"/>
      <c r="F80" s="463"/>
      <c r="G80" s="652"/>
    </row>
    <row r="84" spans="1:7" s="683" customFormat="1" x14ac:dyDescent="0.45">
      <c r="A84" s="463"/>
      <c r="B84" s="463"/>
      <c r="C84" s="649"/>
      <c r="D84" s="649"/>
      <c r="E84" s="463"/>
      <c r="F84" s="463"/>
      <c r="G84" s="652"/>
    </row>
    <row r="85" spans="1:7" s="682" customFormat="1" x14ac:dyDescent="0.45">
      <c r="A85" s="463"/>
      <c r="B85" s="463"/>
      <c r="C85" s="649"/>
      <c r="D85" s="649"/>
      <c r="E85" s="463"/>
      <c r="F85" s="463"/>
      <c r="G85" s="652"/>
    </row>
    <row r="89" spans="1:7" s="683" customFormat="1" x14ac:dyDescent="0.45">
      <c r="A89" s="463"/>
      <c r="B89" s="463"/>
      <c r="C89" s="649"/>
      <c r="D89" s="649"/>
      <c r="E89" s="463"/>
      <c r="F89" s="463"/>
      <c r="G89" s="652"/>
    </row>
    <row r="90" spans="1:7" s="682" customFormat="1" x14ac:dyDescent="0.45">
      <c r="A90" s="463"/>
      <c r="B90" s="463"/>
      <c r="C90" s="649"/>
      <c r="D90" s="649"/>
      <c r="E90" s="463"/>
      <c r="F90" s="463"/>
      <c r="G90" s="652"/>
    </row>
    <row r="97" spans="1:7" s="683" customFormat="1" x14ac:dyDescent="0.45">
      <c r="A97" s="463"/>
      <c r="B97" s="463"/>
      <c r="C97" s="649"/>
      <c r="D97" s="649"/>
      <c r="E97" s="463"/>
      <c r="F97" s="463"/>
      <c r="G97" s="652"/>
    </row>
    <row r="98" spans="1:7" s="682" customFormat="1" x14ac:dyDescent="0.45">
      <c r="A98" s="463"/>
      <c r="B98" s="463"/>
      <c r="C98" s="649"/>
      <c r="D98" s="649"/>
      <c r="E98" s="463"/>
      <c r="F98" s="463"/>
      <c r="G98" s="652"/>
    </row>
    <row r="103" spans="1:7" s="683" customFormat="1" x14ac:dyDescent="0.45">
      <c r="A103" s="463"/>
      <c r="B103" s="463"/>
      <c r="C103" s="649"/>
      <c r="D103" s="649"/>
      <c r="E103" s="463"/>
      <c r="F103" s="463"/>
      <c r="G103" s="652"/>
    </row>
    <row r="104" spans="1:7" s="682" customFormat="1" x14ac:dyDescent="0.45">
      <c r="A104" s="463"/>
      <c r="B104" s="463"/>
      <c r="C104" s="649"/>
      <c r="D104" s="649"/>
      <c r="E104" s="463"/>
      <c r="F104" s="463"/>
      <c r="G104" s="652"/>
    </row>
    <row r="110" spans="1:7" s="683" customFormat="1" x14ac:dyDescent="0.45">
      <c r="A110" s="463"/>
      <c r="B110" s="463"/>
      <c r="C110" s="649"/>
      <c r="D110" s="649"/>
      <c r="E110" s="463"/>
      <c r="F110" s="463"/>
      <c r="G110" s="652"/>
    </row>
    <row r="111" spans="1:7" s="682" customFormat="1" x14ac:dyDescent="0.45">
      <c r="A111" s="463"/>
      <c r="B111" s="463"/>
      <c r="C111" s="649"/>
      <c r="D111" s="649"/>
      <c r="E111" s="463"/>
      <c r="F111" s="463"/>
      <c r="G111" s="652"/>
    </row>
    <row r="118" spans="1:7" s="683" customFormat="1" x14ac:dyDescent="0.45">
      <c r="A118" s="463"/>
      <c r="B118" s="463"/>
      <c r="C118" s="649"/>
      <c r="D118" s="649"/>
      <c r="E118" s="463"/>
      <c r="F118" s="463"/>
      <c r="G118" s="652"/>
    </row>
    <row r="119" spans="1:7" s="682" customFormat="1" x14ac:dyDescent="0.45">
      <c r="A119" s="463"/>
      <c r="B119" s="463"/>
      <c r="C119" s="649"/>
      <c r="D119" s="649"/>
      <c r="E119" s="463"/>
      <c r="F119" s="463"/>
      <c r="G119" s="652"/>
    </row>
    <row r="125" spans="1:7" s="683" customFormat="1" x14ac:dyDescent="0.45">
      <c r="A125" s="463"/>
      <c r="B125" s="463"/>
      <c r="C125" s="649"/>
      <c r="D125" s="649"/>
      <c r="E125" s="463"/>
      <c r="F125" s="463"/>
      <c r="G125" s="652"/>
    </row>
    <row r="126" spans="1:7" s="682" customFormat="1" x14ac:dyDescent="0.45">
      <c r="A126" s="463"/>
      <c r="B126" s="463"/>
      <c r="C126" s="649"/>
      <c r="D126" s="649"/>
      <c r="E126" s="463"/>
      <c r="F126" s="463"/>
      <c r="G126" s="652"/>
    </row>
    <row r="130" spans="1:7" s="683" customFormat="1" x14ac:dyDescent="0.45">
      <c r="A130" s="463"/>
      <c r="B130" s="463"/>
      <c r="C130" s="649"/>
      <c r="D130" s="649"/>
      <c r="E130" s="463"/>
      <c r="F130" s="463"/>
      <c r="G130" s="652"/>
    </row>
    <row r="131" spans="1:7" s="682" customFormat="1" x14ac:dyDescent="0.45">
      <c r="A131" s="463"/>
      <c r="B131" s="463"/>
      <c r="C131" s="649"/>
      <c r="D131" s="649"/>
      <c r="E131" s="463"/>
      <c r="F131" s="463"/>
      <c r="G131" s="652"/>
    </row>
    <row r="137" spans="1:7" s="683" customFormat="1" x14ac:dyDescent="0.45">
      <c r="A137" s="463"/>
      <c r="B137" s="463"/>
      <c r="C137" s="649"/>
      <c r="D137" s="649"/>
      <c r="E137" s="463"/>
      <c r="F137" s="463"/>
      <c r="G137" s="652"/>
    </row>
    <row r="138" spans="1:7" s="682" customFormat="1" x14ac:dyDescent="0.45">
      <c r="A138" s="463"/>
      <c r="B138" s="463"/>
      <c r="C138" s="649"/>
      <c r="D138" s="649"/>
      <c r="E138" s="463"/>
      <c r="F138" s="463"/>
      <c r="G138" s="652"/>
    </row>
    <row r="142" spans="1:7" s="683" customFormat="1" x14ac:dyDescent="0.45">
      <c r="A142" s="463"/>
      <c r="B142" s="463"/>
      <c r="C142" s="649"/>
      <c r="D142" s="649"/>
      <c r="E142" s="463"/>
      <c r="F142" s="463"/>
      <c r="G142" s="652"/>
    </row>
    <row r="143" spans="1:7" s="682" customFormat="1" x14ac:dyDescent="0.45">
      <c r="A143" s="463"/>
      <c r="B143" s="463"/>
      <c r="C143" s="649"/>
      <c r="D143" s="649"/>
      <c r="E143" s="463"/>
      <c r="F143" s="463"/>
      <c r="G143" s="652"/>
    </row>
    <row r="147" spans="1:7" s="683" customFormat="1" x14ac:dyDescent="0.45">
      <c r="A147" s="463"/>
      <c r="B147" s="463"/>
      <c r="C147" s="649"/>
      <c r="D147" s="649"/>
      <c r="E147" s="463"/>
      <c r="F147" s="463"/>
      <c r="G147" s="652"/>
    </row>
    <row r="148" spans="1:7" s="682" customFormat="1" x14ac:dyDescent="0.45">
      <c r="A148" s="463"/>
      <c r="B148" s="463"/>
      <c r="C148" s="649"/>
      <c r="D148" s="649"/>
      <c r="E148" s="463"/>
      <c r="F148" s="463"/>
      <c r="G148" s="652"/>
    </row>
    <row r="151" spans="1:7" s="683" customFormat="1" x14ac:dyDescent="0.45">
      <c r="A151" s="463"/>
      <c r="B151" s="463"/>
      <c r="C151" s="649"/>
      <c r="D151" s="649"/>
      <c r="E151" s="463"/>
      <c r="F151" s="463"/>
      <c r="G151" s="652"/>
    </row>
    <row r="152" spans="1:7" s="682" customFormat="1" x14ac:dyDescent="0.45">
      <c r="A152" s="463"/>
      <c r="B152" s="463"/>
      <c r="C152" s="649"/>
      <c r="D152" s="649"/>
      <c r="E152" s="463"/>
      <c r="F152" s="463"/>
      <c r="G152" s="652"/>
    </row>
    <row r="158" spans="1:7" s="683" customFormat="1" x14ac:dyDescent="0.45">
      <c r="A158" s="463"/>
      <c r="B158" s="463"/>
      <c r="C158" s="649"/>
      <c r="D158" s="649"/>
      <c r="E158" s="463"/>
      <c r="F158" s="463"/>
      <c r="G158" s="652"/>
    </row>
    <row r="159" spans="1:7" s="682" customFormat="1" x14ac:dyDescent="0.45">
      <c r="A159" s="463"/>
      <c r="B159" s="463"/>
      <c r="C159" s="649"/>
      <c r="D159" s="649"/>
      <c r="E159" s="463"/>
      <c r="F159" s="463"/>
      <c r="G159" s="652"/>
    </row>
    <row r="162" spans="1:7" s="683" customFormat="1" x14ac:dyDescent="0.45">
      <c r="A162" s="463"/>
      <c r="B162" s="463"/>
      <c r="C162" s="649"/>
      <c r="D162" s="649"/>
      <c r="E162" s="463"/>
      <c r="F162" s="463"/>
      <c r="G162" s="652"/>
    </row>
    <row r="163" spans="1:7" s="682" customFormat="1" x14ac:dyDescent="0.45">
      <c r="A163" s="463"/>
      <c r="B163" s="463"/>
      <c r="C163" s="649"/>
      <c r="D163" s="649"/>
      <c r="E163" s="463"/>
      <c r="F163" s="463"/>
      <c r="G163" s="652"/>
    </row>
    <row r="168" spans="1:7" s="683" customFormat="1" x14ac:dyDescent="0.45">
      <c r="A168" s="463"/>
      <c r="B168" s="463"/>
      <c r="C168" s="649"/>
      <c r="D168" s="649"/>
      <c r="E168" s="463"/>
      <c r="F168" s="463"/>
      <c r="G168" s="652"/>
    </row>
    <row r="169" spans="1:7" s="682" customFormat="1" x14ac:dyDescent="0.45">
      <c r="A169" s="463"/>
      <c r="B169" s="463"/>
      <c r="C169" s="649"/>
      <c r="D169" s="649"/>
      <c r="E169" s="463"/>
      <c r="F169" s="463"/>
      <c r="G169" s="652"/>
    </row>
    <row r="172" spans="1:7" s="683" customFormat="1" x14ac:dyDescent="0.45">
      <c r="A172" s="463"/>
      <c r="B172" s="463"/>
      <c r="C172" s="649"/>
      <c r="D172" s="649"/>
      <c r="E172" s="463"/>
      <c r="F172" s="463"/>
      <c r="G172" s="652"/>
    </row>
    <row r="173" spans="1:7" s="682" customFormat="1" x14ac:dyDescent="0.45">
      <c r="A173" s="463"/>
      <c r="B173" s="463"/>
      <c r="C173" s="649"/>
      <c r="D173" s="649"/>
      <c r="E173" s="463"/>
      <c r="F173" s="463"/>
      <c r="G173" s="652"/>
    </row>
    <row r="179" spans="1:7" s="683" customFormat="1" x14ac:dyDescent="0.45">
      <c r="A179" s="463"/>
      <c r="B179" s="463"/>
      <c r="C179" s="649"/>
      <c r="D179" s="649"/>
      <c r="E179" s="463"/>
      <c r="F179" s="463"/>
      <c r="G179" s="652"/>
    </row>
    <row r="180" spans="1:7" s="682" customFormat="1" x14ac:dyDescent="0.45">
      <c r="A180" s="463"/>
      <c r="B180" s="463"/>
      <c r="C180" s="649"/>
      <c r="D180" s="649"/>
      <c r="E180" s="463"/>
      <c r="F180" s="463"/>
      <c r="G180" s="652"/>
    </row>
    <row r="181" spans="1:7" ht="13.25" customHeight="1" x14ac:dyDescent="0.45"/>
    <row r="185" spans="1:7" s="683" customFormat="1" x14ac:dyDescent="0.45">
      <c r="A185" s="463"/>
      <c r="B185" s="463"/>
      <c r="C185" s="649"/>
      <c r="D185" s="649"/>
      <c r="E185" s="463"/>
      <c r="F185" s="463"/>
      <c r="G185" s="652"/>
    </row>
    <row r="186" spans="1:7" s="682" customFormat="1" x14ac:dyDescent="0.45">
      <c r="A186" s="463"/>
      <c r="B186" s="463"/>
      <c r="C186" s="649"/>
      <c r="D186" s="649"/>
      <c r="E186" s="463"/>
      <c r="F186" s="463"/>
      <c r="G186" s="652"/>
    </row>
    <row r="190" spans="1:7" s="683" customFormat="1" x14ac:dyDescent="0.45">
      <c r="A190" s="463"/>
      <c r="B190" s="463"/>
      <c r="C190" s="649"/>
      <c r="D190" s="649"/>
      <c r="E190" s="463"/>
      <c r="F190" s="463"/>
      <c r="G190" s="652"/>
    </row>
    <row r="191" spans="1:7" s="682" customFormat="1" x14ac:dyDescent="0.45">
      <c r="A191" s="463"/>
      <c r="B191" s="463"/>
      <c r="C191" s="649"/>
      <c r="D191" s="649"/>
      <c r="E191" s="463"/>
      <c r="F191" s="463"/>
      <c r="G191" s="652"/>
    </row>
    <row r="196" spans="1:7" s="683" customFormat="1" x14ac:dyDescent="0.45">
      <c r="A196" s="463"/>
      <c r="B196" s="463"/>
      <c r="C196" s="649"/>
      <c r="D196" s="649"/>
      <c r="E196" s="463"/>
      <c r="F196" s="463"/>
      <c r="G196" s="652"/>
    </row>
    <row r="197" spans="1:7" s="682" customFormat="1" x14ac:dyDescent="0.45">
      <c r="A197" s="463"/>
      <c r="B197" s="463"/>
      <c r="C197" s="649"/>
      <c r="D197" s="649"/>
      <c r="E197" s="463"/>
      <c r="F197" s="463"/>
      <c r="G197" s="652"/>
    </row>
    <row r="202" spans="1:7" s="683" customFormat="1" x14ac:dyDescent="0.45">
      <c r="A202" s="463"/>
      <c r="B202" s="463"/>
      <c r="C202" s="649"/>
      <c r="D202" s="649"/>
      <c r="E202" s="463"/>
      <c r="F202" s="463"/>
      <c r="G202" s="652"/>
    </row>
    <row r="203" spans="1:7" s="682" customFormat="1" x14ac:dyDescent="0.45">
      <c r="A203" s="463"/>
      <c r="B203" s="463"/>
      <c r="C203" s="649"/>
      <c r="D203" s="649"/>
      <c r="E203" s="463"/>
      <c r="F203" s="463"/>
      <c r="G203" s="652"/>
    </row>
    <row r="208" spans="1:7" s="683" customFormat="1" x14ac:dyDescent="0.45">
      <c r="A208" s="463"/>
      <c r="B208" s="463"/>
      <c r="C208" s="649"/>
      <c r="D208" s="649"/>
      <c r="E208" s="463"/>
      <c r="F208" s="463"/>
      <c r="G208" s="652"/>
    </row>
    <row r="209" spans="1:7" s="682" customFormat="1" x14ac:dyDescent="0.45">
      <c r="A209" s="463"/>
      <c r="B209" s="463"/>
      <c r="C209" s="649"/>
      <c r="D209" s="649"/>
      <c r="E209" s="463"/>
      <c r="F209" s="463"/>
      <c r="G209" s="652"/>
    </row>
    <row r="214" spans="1:7" s="683" customFormat="1" x14ac:dyDescent="0.45">
      <c r="A214" s="463"/>
      <c r="B214" s="463"/>
      <c r="C214" s="649"/>
      <c r="D214" s="649"/>
      <c r="E214" s="463"/>
      <c r="F214" s="463"/>
      <c r="G214" s="652"/>
    </row>
    <row r="215" spans="1:7" s="682" customFormat="1" x14ac:dyDescent="0.45">
      <c r="A215" s="463"/>
      <c r="B215" s="463"/>
      <c r="C215" s="649"/>
      <c r="D215" s="649"/>
      <c r="E215" s="463"/>
      <c r="F215" s="463"/>
      <c r="G215" s="652"/>
    </row>
    <row r="222" spans="1:7" s="683" customFormat="1" x14ac:dyDescent="0.45">
      <c r="A222" s="463"/>
      <c r="B222" s="463"/>
      <c r="C222" s="649"/>
      <c r="D222" s="649"/>
      <c r="E222" s="463"/>
      <c r="F222" s="463"/>
      <c r="G222" s="652"/>
    </row>
    <row r="223" spans="1:7" s="682" customFormat="1" x14ac:dyDescent="0.45">
      <c r="A223" s="463"/>
      <c r="B223" s="463"/>
      <c r="C223" s="649"/>
      <c r="D223" s="649"/>
      <c r="E223" s="463"/>
      <c r="F223" s="463"/>
      <c r="G223" s="652"/>
    </row>
    <row r="228" spans="1:7" s="683" customFormat="1" x14ac:dyDescent="0.45">
      <c r="A228" s="463"/>
      <c r="B228" s="463"/>
      <c r="C228" s="649"/>
      <c r="D228" s="649"/>
      <c r="E228" s="463"/>
      <c r="F228" s="463"/>
      <c r="G228" s="652"/>
    </row>
    <row r="229" spans="1:7" s="682" customFormat="1" x14ac:dyDescent="0.45">
      <c r="A229" s="463"/>
      <c r="B229" s="463"/>
      <c r="C229" s="649"/>
      <c r="D229" s="649"/>
      <c r="E229" s="463"/>
      <c r="F229" s="463"/>
      <c r="G229" s="652"/>
    </row>
    <row r="234" spans="1:7" s="683" customFormat="1" x14ac:dyDescent="0.45">
      <c r="A234" s="463"/>
      <c r="B234" s="463"/>
      <c r="C234" s="649"/>
      <c r="D234" s="649"/>
      <c r="E234" s="463"/>
      <c r="F234" s="463"/>
      <c r="G234" s="652"/>
    </row>
    <row r="235" spans="1:7" s="682" customFormat="1" x14ac:dyDescent="0.45">
      <c r="A235" s="463"/>
      <c r="B235" s="463"/>
      <c r="C235" s="649"/>
      <c r="D235" s="649"/>
      <c r="E235" s="463"/>
      <c r="F235" s="463"/>
      <c r="G235" s="652"/>
    </row>
    <row r="241" spans="1:7" s="683" customFormat="1" x14ac:dyDescent="0.45">
      <c r="A241" s="463"/>
      <c r="B241" s="463"/>
      <c r="C241" s="649"/>
      <c r="D241" s="649"/>
      <c r="E241" s="463"/>
      <c r="F241" s="463"/>
      <c r="G241" s="652"/>
    </row>
    <row r="242" spans="1:7" s="682" customFormat="1" x14ac:dyDescent="0.45">
      <c r="A242" s="463"/>
      <c r="B242" s="463"/>
      <c r="C242" s="649"/>
      <c r="D242" s="649"/>
      <c r="E242" s="463"/>
      <c r="F242" s="463"/>
      <c r="G242" s="652"/>
    </row>
    <row r="248" spans="1:7" s="683" customFormat="1" x14ac:dyDescent="0.45">
      <c r="A248" s="463"/>
      <c r="B248" s="463"/>
      <c r="C248" s="649"/>
      <c r="D248" s="649"/>
      <c r="E248" s="463"/>
      <c r="F248" s="463"/>
      <c r="G248" s="652"/>
    </row>
    <row r="249" spans="1:7" s="682" customFormat="1" x14ac:dyDescent="0.45">
      <c r="A249" s="463"/>
      <c r="B249" s="463"/>
      <c r="C249" s="649"/>
      <c r="D249" s="649"/>
      <c r="E249" s="463"/>
      <c r="F249" s="463"/>
      <c r="G249" s="652"/>
    </row>
    <row r="254" spans="1:7" s="683" customFormat="1" x14ac:dyDescent="0.45">
      <c r="A254" s="463"/>
      <c r="B254" s="463"/>
      <c r="C254" s="649"/>
      <c r="D254" s="649"/>
      <c r="E254" s="463"/>
      <c r="F254" s="463"/>
      <c r="G254" s="652"/>
    </row>
    <row r="255" spans="1:7" s="682" customFormat="1" x14ac:dyDescent="0.45">
      <c r="A255" s="463"/>
      <c r="B255" s="463"/>
      <c r="C255" s="649"/>
      <c r="D255" s="649"/>
      <c r="E255" s="463"/>
      <c r="F255" s="463"/>
      <c r="G255" s="652"/>
    </row>
    <row r="259" spans="1:7" s="683" customFormat="1" x14ac:dyDescent="0.45">
      <c r="A259" s="463"/>
      <c r="B259" s="463"/>
      <c r="C259" s="649"/>
      <c r="D259" s="649"/>
      <c r="E259" s="463"/>
      <c r="F259" s="463"/>
      <c r="G259" s="652"/>
    </row>
    <row r="260" spans="1:7" s="682" customFormat="1" x14ac:dyDescent="0.45">
      <c r="A260" s="463"/>
      <c r="B260" s="463"/>
      <c r="C260" s="649"/>
      <c r="D260" s="649"/>
      <c r="E260" s="463"/>
      <c r="F260" s="463"/>
      <c r="G260" s="652"/>
    </row>
    <row r="264" spans="1:7" s="683" customFormat="1" x14ac:dyDescent="0.45">
      <c r="A264" s="463"/>
      <c r="B264" s="463"/>
      <c r="C264" s="649"/>
      <c r="D264" s="649"/>
      <c r="E264" s="463"/>
      <c r="F264" s="463"/>
      <c r="G264" s="652"/>
    </row>
    <row r="265" spans="1:7" s="682" customFormat="1" x14ac:dyDescent="0.45">
      <c r="A265" s="463"/>
      <c r="B265" s="463"/>
      <c r="C265" s="649"/>
      <c r="D265" s="649"/>
      <c r="E265" s="463"/>
      <c r="F265" s="463"/>
      <c r="G265" s="652"/>
    </row>
    <row r="274" spans="1:7" s="683" customFormat="1" x14ac:dyDescent="0.45">
      <c r="A274" s="463"/>
      <c r="B274" s="463"/>
      <c r="C274" s="649"/>
      <c r="D274" s="649"/>
      <c r="E274" s="463"/>
      <c r="F274" s="463"/>
      <c r="G274" s="652"/>
    </row>
    <row r="275" spans="1:7" s="682" customFormat="1" x14ac:dyDescent="0.45">
      <c r="A275" s="463"/>
      <c r="B275" s="463"/>
      <c r="C275" s="649"/>
      <c r="D275" s="649"/>
      <c r="E275" s="463"/>
      <c r="F275" s="463"/>
      <c r="G275" s="652"/>
    </row>
    <row r="281" spans="1:7" s="683" customFormat="1" x14ac:dyDescent="0.45">
      <c r="A281" s="463"/>
      <c r="B281" s="463"/>
      <c r="C281" s="649"/>
      <c r="D281" s="649"/>
      <c r="E281" s="463"/>
      <c r="F281" s="463"/>
      <c r="G281" s="652"/>
    </row>
    <row r="282" spans="1:7" s="682" customFormat="1" x14ac:dyDescent="0.45">
      <c r="A282" s="463"/>
      <c r="B282" s="463"/>
      <c r="C282" s="649"/>
      <c r="D282" s="649"/>
      <c r="E282" s="463"/>
      <c r="F282" s="463"/>
      <c r="G282" s="652"/>
    </row>
    <row r="288" spans="1:7" s="683" customFormat="1" x14ac:dyDescent="0.45">
      <c r="A288" s="463"/>
      <c r="B288" s="463"/>
      <c r="C288" s="649"/>
      <c r="D288" s="649"/>
      <c r="E288" s="463"/>
      <c r="F288" s="463"/>
      <c r="G288" s="652"/>
    </row>
    <row r="289" spans="1:7" s="682" customFormat="1" x14ac:dyDescent="0.45">
      <c r="A289" s="463"/>
      <c r="B289" s="463"/>
      <c r="C289" s="649"/>
      <c r="D289" s="649"/>
      <c r="E289" s="463"/>
      <c r="F289" s="463"/>
      <c r="G289" s="652"/>
    </row>
    <row r="293" spans="1:7" s="683" customFormat="1" x14ac:dyDescent="0.45">
      <c r="A293" s="463"/>
      <c r="B293" s="463"/>
      <c r="C293" s="649"/>
      <c r="D293" s="649"/>
      <c r="E293" s="463"/>
      <c r="F293" s="463"/>
      <c r="G293" s="652"/>
    </row>
    <row r="294" spans="1:7" s="682" customFormat="1" x14ac:dyDescent="0.45">
      <c r="A294" s="463"/>
      <c r="B294" s="463"/>
      <c r="C294" s="649"/>
      <c r="D294" s="649"/>
      <c r="E294" s="463"/>
      <c r="F294" s="463"/>
      <c r="G294" s="652"/>
    </row>
    <row r="298" spans="1:7" s="683" customFormat="1" x14ac:dyDescent="0.45">
      <c r="A298" s="463"/>
      <c r="B298" s="463"/>
      <c r="C298" s="649"/>
      <c r="D298" s="649"/>
      <c r="E298" s="463"/>
      <c r="F298" s="463"/>
      <c r="G298" s="652"/>
    </row>
    <row r="299" spans="1:7" s="682" customFormat="1" x14ac:dyDescent="0.45">
      <c r="A299" s="463"/>
      <c r="B299" s="463"/>
      <c r="C299" s="649"/>
      <c r="D299" s="649"/>
      <c r="E299" s="463"/>
      <c r="F299" s="463"/>
      <c r="G299" s="652"/>
    </row>
    <row r="302" spans="1:7" s="683" customFormat="1" x14ac:dyDescent="0.45">
      <c r="A302" s="463"/>
      <c r="B302" s="463"/>
      <c r="C302" s="649"/>
      <c r="D302" s="649"/>
      <c r="E302" s="463"/>
      <c r="F302" s="463"/>
      <c r="G302" s="652"/>
    </row>
    <row r="303" spans="1:7" s="682" customFormat="1" x14ac:dyDescent="0.45">
      <c r="A303" s="463"/>
      <c r="B303" s="463"/>
      <c r="C303" s="649"/>
      <c r="D303" s="649"/>
      <c r="E303" s="463"/>
      <c r="F303" s="463"/>
      <c r="G303" s="652"/>
    </row>
    <row r="311" spans="1:7" s="683" customFormat="1" x14ac:dyDescent="0.45">
      <c r="A311" s="463"/>
      <c r="B311" s="463"/>
      <c r="C311" s="649"/>
      <c r="D311" s="649"/>
      <c r="E311" s="463"/>
      <c r="F311" s="463"/>
      <c r="G311" s="652"/>
    </row>
    <row r="312" spans="1:7" s="682" customFormat="1" x14ac:dyDescent="0.45">
      <c r="A312" s="463"/>
      <c r="B312" s="463"/>
      <c r="C312" s="649"/>
      <c r="D312" s="649"/>
      <c r="E312" s="463"/>
      <c r="F312" s="463"/>
      <c r="G312" s="652"/>
    </row>
    <row r="314" spans="1:7" s="683" customFormat="1" x14ac:dyDescent="0.45">
      <c r="A314" s="463"/>
      <c r="B314" s="463"/>
      <c r="C314" s="649"/>
      <c r="D314" s="649"/>
      <c r="E314" s="463"/>
      <c r="F314" s="463"/>
      <c r="G314" s="652"/>
    </row>
    <row r="315" spans="1:7" s="682" customFormat="1" x14ac:dyDescent="0.45">
      <c r="A315" s="463"/>
      <c r="B315" s="463"/>
      <c r="C315" s="649"/>
      <c r="D315" s="649"/>
      <c r="E315" s="463"/>
      <c r="F315" s="463"/>
      <c r="G315" s="652"/>
    </row>
    <row r="317" spans="1:7" s="683" customFormat="1" x14ac:dyDescent="0.45">
      <c r="A317" s="463"/>
      <c r="B317" s="463"/>
      <c r="C317" s="649"/>
      <c r="D317" s="649"/>
      <c r="E317" s="463"/>
      <c r="F317" s="463"/>
      <c r="G317" s="652"/>
    </row>
    <row r="318" spans="1:7" s="682" customFormat="1" x14ac:dyDescent="0.45">
      <c r="A318" s="463"/>
      <c r="B318" s="463"/>
      <c r="C318" s="649"/>
      <c r="D318" s="649"/>
      <c r="E318" s="463"/>
      <c r="F318" s="463"/>
      <c r="G318" s="652"/>
    </row>
    <row r="323" spans="1:7" s="683" customFormat="1" x14ac:dyDescent="0.45">
      <c r="A323" s="463"/>
      <c r="B323" s="463"/>
      <c r="C323" s="649"/>
      <c r="D323" s="649"/>
      <c r="E323" s="463"/>
      <c r="F323" s="463"/>
      <c r="G323" s="652"/>
    </row>
    <row r="324" spans="1:7" s="682" customFormat="1" x14ac:dyDescent="0.45">
      <c r="A324" s="463"/>
      <c r="B324" s="463"/>
      <c r="C324" s="649"/>
      <c r="D324" s="649"/>
      <c r="E324" s="463"/>
      <c r="F324" s="463"/>
      <c r="G324" s="652"/>
    </row>
    <row r="328" spans="1:7" s="683" customFormat="1" x14ac:dyDescent="0.45">
      <c r="A328" s="463"/>
      <c r="B328" s="463"/>
      <c r="C328" s="649"/>
      <c r="D328" s="649"/>
      <c r="E328" s="463"/>
      <c r="F328" s="463"/>
      <c r="G328" s="652"/>
    </row>
    <row r="329" spans="1:7" s="682" customFormat="1" x14ac:dyDescent="0.45">
      <c r="A329" s="463"/>
      <c r="B329" s="463"/>
      <c r="C329" s="649"/>
      <c r="D329" s="649"/>
      <c r="E329" s="463"/>
      <c r="F329" s="463"/>
      <c r="G329" s="652"/>
    </row>
    <row r="335" spans="1:7" s="683" customFormat="1" x14ac:dyDescent="0.45">
      <c r="A335" s="463"/>
      <c r="B335" s="463"/>
      <c r="C335" s="649"/>
      <c r="D335" s="649"/>
      <c r="E335" s="463"/>
      <c r="F335" s="463"/>
      <c r="G335" s="652"/>
    </row>
    <row r="336" spans="1:7" s="682" customFormat="1" x14ac:dyDescent="0.45">
      <c r="A336" s="463"/>
      <c r="B336" s="463"/>
      <c r="C336" s="649"/>
      <c r="D336" s="649"/>
      <c r="E336" s="463"/>
      <c r="F336" s="463"/>
      <c r="G336" s="652"/>
    </row>
    <row r="342" spans="1:7" s="683" customFormat="1" x14ac:dyDescent="0.45">
      <c r="A342" s="463"/>
      <c r="B342" s="463"/>
      <c r="C342" s="649"/>
      <c r="D342" s="649"/>
      <c r="E342" s="463"/>
      <c r="F342" s="463"/>
      <c r="G342" s="652"/>
    </row>
    <row r="343" spans="1:7" s="682" customFormat="1" x14ac:dyDescent="0.45">
      <c r="A343" s="463"/>
      <c r="B343" s="463"/>
      <c r="C343" s="649"/>
      <c r="D343" s="649"/>
      <c r="E343" s="463"/>
      <c r="F343" s="463"/>
      <c r="G343" s="652"/>
    </row>
    <row r="346" spans="1:7" s="683" customFormat="1" ht="13.25" customHeight="1" x14ac:dyDescent="0.45">
      <c r="A346" s="463"/>
      <c r="B346" s="463"/>
      <c r="C346" s="649"/>
      <c r="D346" s="649"/>
      <c r="E346" s="463"/>
      <c r="F346" s="463"/>
      <c r="G346" s="652"/>
    </row>
    <row r="347" spans="1:7" s="682" customFormat="1" x14ac:dyDescent="0.45">
      <c r="A347" s="463"/>
      <c r="B347" s="463"/>
      <c r="C347" s="649"/>
      <c r="D347" s="649"/>
      <c r="E347" s="463"/>
      <c r="F347" s="463"/>
      <c r="G347" s="652"/>
    </row>
    <row r="349" spans="1:7" s="683" customFormat="1" x14ac:dyDescent="0.45">
      <c r="A349" s="463"/>
      <c r="B349" s="463"/>
      <c r="C349" s="649"/>
      <c r="D349" s="649"/>
      <c r="E349" s="463"/>
      <c r="F349" s="463"/>
      <c r="G349" s="652"/>
    </row>
    <row r="350" spans="1:7" s="682" customFormat="1" x14ac:dyDescent="0.45">
      <c r="A350" s="463"/>
      <c r="B350" s="463"/>
      <c r="C350" s="649"/>
      <c r="D350" s="649"/>
      <c r="E350" s="463"/>
      <c r="F350" s="463"/>
      <c r="G350" s="652"/>
    </row>
    <row r="355" spans="1:7" s="682" customFormat="1" x14ac:dyDescent="0.45">
      <c r="A355" s="463"/>
      <c r="B355" s="463"/>
      <c r="C355" s="649"/>
      <c r="D355" s="649"/>
      <c r="E355" s="463"/>
      <c r="F355" s="463"/>
      <c r="G355" s="652"/>
    </row>
    <row r="356" spans="1:7" s="682" customFormat="1" x14ac:dyDescent="0.45">
      <c r="A356" s="463"/>
      <c r="B356" s="463"/>
      <c r="C356" s="649"/>
      <c r="D356" s="649"/>
      <c r="E356" s="463"/>
      <c r="F356" s="463"/>
      <c r="G356" s="652"/>
    </row>
  </sheetData>
  <autoFilter ref="A5:G72" xr:uid="{00000000-0009-0000-0000-000011000000}"/>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A9B1-8033-4CF2-88E7-0DA89B8C0562}">
  <dimension ref="A1:B106"/>
  <sheetViews>
    <sheetView workbookViewId="0">
      <selection activeCell="D17" sqref="D17"/>
    </sheetView>
  </sheetViews>
  <sheetFormatPr defaultRowHeight="14.5" x14ac:dyDescent="0.35"/>
  <cols>
    <col min="1" max="1" width="68.54296875" customWidth="1"/>
    <col min="2" max="2" width="23.453125" customWidth="1"/>
  </cols>
  <sheetData>
    <row r="1" spans="1:2" ht="18.5" x14ac:dyDescent="0.45">
      <c r="A1" s="778" t="s">
        <v>361</v>
      </c>
      <c r="B1" s="782">
        <v>41719773.766600072</v>
      </c>
    </row>
    <row r="2" spans="1:2" ht="18.5" x14ac:dyDescent="0.45">
      <c r="A2" s="778" t="s">
        <v>25</v>
      </c>
      <c r="B2" s="782">
        <v>28956520.110000007</v>
      </c>
    </row>
    <row r="3" spans="1:2" ht="18.5" x14ac:dyDescent="0.45">
      <c r="A3" s="784" t="s">
        <v>341</v>
      </c>
      <c r="B3" s="782">
        <v>13901867.836000009</v>
      </c>
    </row>
    <row r="4" spans="1:2" ht="18.5" x14ac:dyDescent="0.45">
      <c r="A4" s="784" t="s">
        <v>363</v>
      </c>
      <c r="B4" s="782">
        <v>8023574.6000000397</v>
      </c>
    </row>
    <row r="5" spans="1:2" ht="18.5" x14ac:dyDescent="0.45">
      <c r="A5" s="784" t="s">
        <v>26</v>
      </c>
      <c r="B5" s="782">
        <v>6903798.9800000126</v>
      </c>
    </row>
    <row r="6" spans="1:2" ht="18.5" x14ac:dyDescent="0.45">
      <c r="A6" s="778" t="s">
        <v>31</v>
      </c>
      <c r="B6" s="782">
        <v>5313435.4400000116</v>
      </c>
    </row>
    <row r="7" spans="1:2" ht="18.5" x14ac:dyDescent="0.45">
      <c r="A7" s="784" t="s">
        <v>36</v>
      </c>
      <c r="B7" s="782">
        <v>4300900.1999999974</v>
      </c>
    </row>
    <row r="8" spans="1:2" ht="18.5" x14ac:dyDescent="0.45">
      <c r="A8" s="784" t="s">
        <v>21</v>
      </c>
      <c r="B8" s="782">
        <v>3667212.4499999937</v>
      </c>
    </row>
    <row r="9" spans="1:2" ht="18.5" x14ac:dyDescent="0.45">
      <c r="A9" s="778" t="s">
        <v>526</v>
      </c>
      <c r="B9" s="782">
        <v>2512194.75</v>
      </c>
    </row>
    <row r="10" spans="1:2" ht="18.5" x14ac:dyDescent="0.45">
      <c r="A10" s="784" t="s">
        <v>364</v>
      </c>
      <c r="B10" s="782">
        <v>2398757.8940000175</v>
      </c>
    </row>
    <row r="11" spans="1:2" ht="18.5" x14ac:dyDescent="0.45">
      <c r="A11" s="784" t="s">
        <v>37</v>
      </c>
      <c r="B11" s="782">
        <v>2359884.0799999963</v>
      </c>
    </row>
    <row r="12" spans="1:2" ht="18.5" x14ac:dyDescent="0.45">
      <c r="A12" s="784" t="s">
        <v>45</v>
      </c>
      <c r="B12" s="782">
        <v>2230642.8583</v>
      </c>
    </row>
    <row r="13" spans="1:2" ht="18.5" x14ac:dyDescent="0.45">
      <c r="A13" s="784" t="s">
        <v>70</v>
      </c>
      <c r="B13" s="782">
        <v>2052359.2600000005</v>
      </c>
    </row>
    <row r="14" spans="1:2" ht="18.5" x14ac:dyDescent="0.45">
      <c r="A14" s="784" t="s">
        <v>335</v>
      </c>
      <c r="B14" s="782">
        <v>2027685.0900000089</v>
      </c>
    </row>
    <row r="15" spans="1:2" ht="18.5" x14ac:dyDescent="0.45">
      <c r="A15" s="784" t="s">
        <v>23</v>
      </c>
      <c r="B15" s="782">
        <v>1794437.7500000012</v>
      </c>
    </row>
    <row r="16" spans="1:2" ht="18.5" x14ac:dyDescent="0.45">
      <c r="A16" s="784" t="s">
        <v>48</v>
      </c>
      <c r="B16" s="782">
        <v>1638721.219999999</v>
      </c>
    </row>
    <row r="17" spans="1:2" ht="18.5" x14ac:dyDescent="0.45">
      <c r="A17" s="778" t="s">
        <v>362</v>
      </c>
      <c r="B17" s="782">
        <v>1631887.6799999988</v>
      </c>
    </row>
    <row r="18" spans="1:2" ht="18.5" x14ac:dyDescent="0.45">
      <c r="A18" s="784" t="s">
        <v>57</v>
      </c>
      <c r="B18" s="782">
        <v>1170171.1800000006</v>
      </c>
    </row>
    <row r="19" spans="1:2" ht="18.5" x14ac:dyDescent="0.45">
      <c r="A19" s="784" t="s">
        <v>42</v>
      </c>
      <c r="B19" s="782">
        <v>1145624.9900000012</v>
      </c>
    </row>
    <row r="20" spans="1:2" ht="18.5" x14ac:dyDescent="0.45">
      <c r="A20" s="784" t="s">
        <v>71</v>
      </c>
      <c r="B20" s="782">
        <v>1077790.3799999992</v>
      </c>
    </row>
    <row r="21" spans="1:2" ht="18.5" x14ac:dyDescent="0.45">
      <c r="A21" s="784" t="s">
        <v>368</v>
      </c>
      <c r="B21" s="782">
        <v>1076450.9400000027</v>
      </c>
    </row>
    <row r="22" spans="1:2" ht="18.5" x14ac:dyDescent="0.45">
      <c r="A22" s="784" t="s">
        <v>50</v>
      </c>
      <c r="B22" s="782">
        <v>1027469.28</v>
      </c>
    </row>
    <row r="23" spans="1:2" ht="18.5" x14ac:dyDescent="0.45">
      <c r="A23" s="784" t="s">
        <v>340</v>
      </c>
      <c r="B23" s="782">
        <v>987533.80199999991</v>
      </c>
    </row>
    <row r="24" spans="1:2" ht="18.5" x14ac:dyDescent="0.45">
      <c r="A24" s="784" t="s">
        <v>75</v>
      </c>
      <c r="B24" s="782">
        <v>968300.60000000137</v>
      </c>
    </row>
    <row r="25" spans="1:2" ht="18.5" x14ac:dyDescent="0.45">
      <c r="A25" s="784" t="s">
        <v>27</v>
      </c>
      <c r="B25" s="782">
        <v>954801.91999999864</v>
      </c>
    </row>
    <row r="26" spans="1:2" ht="18.5" x14ac:dyDescent="0.45">
      <c r="A26" s="784" t="s">
        <v>308</v>
      </c>
      <c r="B26" s="782">
        <v>926510.44999999774</v>
      </c>
    </row>
    <row r="27" spans="1:2" ht="18.5" x14ac:dyDescent="0.45">
      <c r="A27" s="784" t="s">
        <v>60</v>
      </c>
      <c r="B27" s="782">
        <v>857832.51900000148</v>
      </c>
    </row>
    <row r="28" spans="1:2" ht="18.5" x14ac:dyDescent="0.45">
      <c r="A28" s="778" t="s">
        <v>58</v>
      </c>
      <c r="B28" s="782">
        <v>706280.49999999744</v>
      </c>
    </row>
    <row r="29" spans="1:2" ht="18.5" x14ac:dyDescent="0.45">
      <c r="A29" s="784" t="s">
        <v>185</v>
      </c>
      <c r="B29" s="782">
        <v>663774.71000000322</v>
      </c>
    </row>
    <row r="30" spans="1:2" ht="18.5" x14ac:dyDescent="0.45">
      <c r="A30" s="784" t="s">
        <v>41</v>
      </c>
      <c r="B30" s="782">
        <v>604156.05999999959</v>
      </c>
    </row>
    <row r="31" spans="1:2" ht="18.5" x14ac:dyDescent="0.45">
      <c r="A31" s="784" t="s">
        <v>61</v>
      </c>
      <c r="B31" s="782">
        <v>603997.8199999996</v>
      </c>
    </row>
    <row r="32" spans="1:2" ht="18.5" x14ac:dyDescent="0.45">
      <c r="A32" s="784" t="s">
        <v>68</v>
      </c>
      <c r="B32" s="782">
        <v>592568.23999999929</v>
      </c>
    </row>
    <row r="33" spans="1:2" ht="18.5" x14ac:dyDescent="0.45">
      <c r="A33" s="784" t="s">
        <v>56</v>
      </c>
      <c r="B33" s="782">
        <v>583039.99999999953</v>
      </c>
    </row>
    <row r="34" spans="1:2" ht="18.5" x14ac:dyDescent="0.45">
      <c r="A34" s="784" t="s">
        <v>66</v>
      </c>
      <c r="B34" s="782">
        <v>555442.44999999972</v>
      </c>
    </row>
    <row r="35" spans="1:2" ht="18.5" x14ac:dyDescent="0.45">
      <c r="A35" s="784" t="s">
        <v>39</v>
      </c>
      <c r="B35" s="782">
        <v>487633.20999999961</v>
      </c>
    </row>
    <row r="36" spans="1:2" ht="18.5" x14ac:dyDescent="0.45">
      <c r="A36" s="784" t="s">
        <v>28</v>
      </c>
      <c r="B36" s="782">
        <v>468876.14000000141</v>
      </c>
    </row>
    <row r="37" spans="1:2" ht="18.5" x14ac:dyDescent="0.45">
      <c r="A37" s="784" t="s">
        <v>509</v>
      </c>
      <c r="B37" s="782">
        <v>416348.50000000006</v>
      </c>
    </row>
    <row r="38" spans="1:2" ht="18.5" x14ac:dyDescent="0.45">
      <c r="A38" s="778" t="s">
        <v>511</v>
      </c>
      <c r="B38" s="782">
        <v>316908.69000000006</v>
      </c>
    </row>
    <row r="39" spans="1:2" ht="18.5" x14ac:dyDescent="0.45">
      <c r="A39" s="784" t="s">
        <v>507</v>
      </c>
      <c r="B39" s="782">
        <v>306712.05000000005</v>
      </c>
    </row>
    <row r="40" spans="1:2" ht="18.5" x14ac:dyDescent="0.45">
      <c r="A40" s="784" t="s">
        <v>500</v>
      </c>
      <c r="B40" s="782">
        <v>281478.99</v>
      </c>
    </row>
    <row r="41" spans="1:2" ht="18.5" x14ac:dyDescent="0.45">
      <c r="A41" s="784" t="s">
        <v>483</v>
      </c>
      <c r="B41" s="782">
        <v>251630.36999999997</v>
      </c>
    </row>
    <row r="42" spans="1:2" ht="18.5" x14ac:dyDescent="0.45">
      <c r="A42" s="784" t="s">
        <v>466</v>
      </c>
      <c r="B42" s="782">
        <v>241527.56000000003</v>
      </c>
    </row>
    <row r="43" spans="1:2" ht="18.5" x14ac:dyDescent="0.45">
      <c r="A43" s="784" t="s">
        <v>52</v>
      </c>
      <c r="B43" s="782">
        <v>234617.90999999997</v>
      </c>
    </row>
    <row r="44" spans="1:2" ht="18.5" x14ac:dyDescent="0.45">
      <c r="A44" s="784" t="s">
        <v>65</v>
      </c>
      <c r="B44" s="782">
        <v>234084.25999999978</v>
      </c>
    </row>
    <row r="45" spans="1:2" ht="18.5" x14ac:dyDescent="0.45">
      <c r="A45" s="784" t="s">
        <v>481</v>
      </c>
      <c r="B45" s="782">
        <v>220830.55</v>
      </c>
    </row>
    <row r="46" spans="1:2" ht="18.5" x14ac:dyDescent="0.45">
      <c r="A46" s="784" t="s">
        <v>334</v>
      </c>
      <c r="B46" s="782">
        <v>218725.99999999837</v>
      </c>
    </row>
    <row r="47" spans="1:2" ht="18.5" x14ac:dyDescent="0.45">
      <c r="A47" s="784" t="s">
        <v>46</v>
      </c>
      <c r="B47" s="782">
        <v>194345.88999999996</v>
      </c>
    </row>
    <row r="48" spans="1:2" ht="18.5" x14ac:dyDescent="0.45">
      <c r="A48" s="784" t="s">
        <v>367</v>
      </c>
      <c r="B48" s="782">
        <v>182440.79999999941</v>
      </c>
    </row>
    <row r="49" spans="1:2" ht="18.5" x14ac:dyDescent="0.45">
      <c r="A49" s="784" t="s">
        <v>85</v>
      </c>
      <c r="B49" s="782">
        <v>171059.99999999977</v>
      </c>
    </row>
    <row r="50" spans="1:2" ht="18.5" x14ac:dyDescent="0.45">
      <c r="A50" s="784" t="s">
        <v>186</v>
      </c>
      <c r="B50" s="782">
        <v>168923.66000000102</v>
      </c>
    </row>
    <row r="51" spans="1:2" ht="18.5" x14ac:dyDescent="0.45">
      <c r="A51" s="784" t="s">
        <v>73</v>
      </c>
      <c r="B51" s="782">
        <v>161154.29999999976</v>
      </c>
    </row>
    <row r="52" spans="1:2" ht="18.5" x14ac:dyDescent="0.45">
      <c r="A52" s="784" t="s">
        <v>86</v>
      </c>
      <c r="B52" s="782">
        <v>155040.00000000012</v>
      </c>
    </row>
    <row r="53" spans="1:2" ht="18.5" x14ac:dyDescent="0.45">
      <c r="A53" s="784" t="s">
        <v>366</v>
      </c>
      <c r="B53" s="782">
        <v>102528.02000000019</v>
      </c>
    </row>
    <row r="54" spans="1:2" ht="18.5" x14ac:dyDescent="0.45">
      <c r="A54" s="784" t="s">
        <v>459</v>
      </c>
      <c r="B54" s="782">
        <v>94994.15</v>
      </c>
    </row>
    <row r="55" spans="1:2" ht="18.5" x14ac:dyDescent="0.45">
      <c r="A55" s="784" t="s">
        <v>480</v>
      </c>
      <c r="B55" s="782">
        <v>73323.010000000024</v>
      </c>
    </row>
    <row r="56" spans="1:2" ht="18.5" x14ac:dyDescent="0.45">
      <c r="A56" s="784" t="s">
        <v>503</v>
      </c>
      <c r="B56" s="782">
        <v>73202.629999999976</v>
      </c>
    </row>
    <row r="57" spans="1:2" ht="18.5" x14ac:dyDescent="0.45">
      <c r="A57" s="784" t="s">
        <v>504</v>
      </c>
      <c r="B57" s="782">
        <v>70508.390000000014</v>
      </c>
    </row>
    <row r="58" spans="1:2" ht="18.5" x14ac:dyDescent="0.45">
      <c r="A58" s="778" t="s">
        <v>525</v>
      </c>
      <c r="B58" s="782">
        <v>64989.420000000006</v>
      </c>
    </row>
    <row r="59" spans="1:2" ht="18.5" x14ac:dyDescent="0.45">
      <c r="A59" s="784" t="s">
        <v>81</v>
      </c>
      <c r="B59" s="782">
        <v>50356.749999999964</v>
      </c>
    </row>
    <row r="60" spans="1:2" ht="18.5" x14ac:dyDescent="0.45">
      <c r="A60" s="784" t="s">
        <v>309</v>
      </c>
      <c r="B60" s="782">
        <v>41772.270000000004</v>
      </c>
    </row>
    <row r="61" spans="1:2" ht="18.5" x14ac:dyDescent="0.45">
      <c r="A61" s="784" t="s">
        <v>506</v>
      </c>
      <c r="B61" s="782">
        <v>32572.499999999818</v>
      </c>
    </row>
    <row r="62" spans="1:2" ht="18.5" x14ac:dyDescent="0.45">
      <c r="A62" s="784" t="s">
        <v>465</v>
      </c>
      <c r="B62" s="782">
        <v>30474.279999999984</v>
      </c>
    </row>
    <row r="63" spans="1:2" ht="18.5" x14ac:dyDescent="0.45">
      <c r="A63" s="784" t="s">
        <v>336</v>
      </c>
      <c r="B63" s="782">
        <v>23503.470000000343</v>
      </c>
    </row>
    <row r="64" spans="1:2" ht="18.5" x14ac:dyDescent="0.45">
      <c r="A64" s="784" t="s">
        <v>342</v>
      </c>
      <c r="B64" s="782">
        <v>18446.389999999974</v>
      </c>
    </row>
    <row r="65" spans="1:2" ht="18.5" x14ac:dyDescent="0.45">
      <c r="A65" s="850" t="s">
        <v>487</v>
      </c>
      <c r="B65" s="782">
        <v>17873.900000000001</v>
      </c>
    </row>
    <row r="66" spans="1:2" ht="18.5" x14ac:dyDescent="0.45">
      <c r="A66" s="806" t="s">
        <v>44</v>
      </c>
      <c r="B66" s="782">
        <v>16268.819999999418</v>
      </c>
    </row>
    <row r="67" spans="1:2" ht="18.5" x14ac:dyDescent="0.45">
      <c r="A67" s="806" t="s">
        <v>88</v>
      </c>
      <c r="B67" s="782">
        <v>15396</v>
      </c>
    </row>
    <row r="68" spans="1:2" ht="18.5" x14ac:dyDescent="0.45">
      <c r="A68" s="806" t="s">
        <v>501</v>
      </c>
      <c r="B68" s="782">
        <v>13110.100000008077</v>
      </c>
    </row>
    <row r="69" spans="1:2" ht="18.5" x14ac:dyDescent="0.45">
      <c r="A69" s="806" t="s">
        <v>502</v>
      </c>
      <c r="B69" s="782">
        <v>8773.1399999999958</v>
      </c>
    </row>
    <row r="70" spans="1:2" ht="18.5" x14ac:dyDescent="0.45">
      <c r="A70" s="643" t="s">
        <v>512</v>
      </c>
      <c r="B70" s="782">
        <v>8626.7800000000861</v>
      </c>
    </row>
    <row r="71" spans="1:2" ht="18.5" x14ac:dyDescent="0.45">
      <c r="A71" s="801" t="s">
        <v>505</v>
      </c>
      <c r="B71" s="782">
        <v>8345.2899999999208</v>
      </c>
    </row>
    <row r="72" spans="1:2" ht="18.5" x14ac:dyDescent="0.45">
      <c r="A72" s="801" t="s">
        <v>59</v>
      </c>
      <c r="B72" s="782">
        <v>7946.9999999999782</v>
      </c>
    </row>
    <row r="73" spans="1:2" ht="18.5" x14ac:dyDescent="0.45">
      <c r="A73" s="806" t="s">
        <v>369</v>
      </c>
      <c r="B73" s="782">
        <v>834.78</v>
      </c>
    </row>
    <row r="74" spans="1:2" ht="18.5" x14ac:dyDescent="0.45">
      <c r="A74" s="801" t="s">
        <v>508</v>
      </c>
      <c r="B74" s="782">
        <v>731.7</v>
      </c>
    </row>
    <row r="75" spans="1:2" ht="18.5" x14ac:dyDescent="0.45">
      <c r="A75" s="806" t="s">
        <v>51</v>
      </c>
      <c r="B75" s="782">
        <v>4.6566128730773926E-10</v>
      </c>
    </row>
    <row r="76" spans="1:2" ht="18.5" x14ac:dyDescent="0.45">
      <c r="A76" s="806" t="s">
        <v>486</v>
      </c>
      <c r="B76" s="782">
        <v>1.0913936421275139E-11</v>
      </c>
    </row>
    <row r="77" spans="1:2" ht="18.5" x14ac:dyDescent="0.45">
      <c r="A77" s="806" t="s">
        <v>461</v>
      </c>
      <c r="B77" s="782">
        <v>0</v>
      </c>
    </row>
    <row r="78" spans="1:2" ht="18.5" x14ac:dyDescent="0.45">
      <c r="A78" s="806" t="s">
        <v>463</v>
      </c>
      <c r="B78" s="782">
        <v>0</v>
      </c>
    </row>
    <row r="79" spans="1:2" ht="18.5" x14ac:dyDescent="0.45">
      <c r="A79" s="806" t="s">
        <v>484</v>
      </c>
      <c r="B79" s="782">
        <v>-4.5474735088646412E-13</v>
      </c>
    </row>
    <row r="80" spans="1:2" ht="18.5" x14ac:dyDescent="0.45">
      <c r="A80" s="806" t="s">
        <v>460</v>
      </c>
      <c r="B80" s="782">
        <v>-7.2759576141834259E-12</v>
      </c>
    </row>
    <row r="81" spans="1:2" ht="18.5" x14ac:dyDescent="0.45">
      <c r="A81" s="806" t="s">
        <v>510</v>
      </c>
      <c r="B81" s="782">
        <v>-1.4551915228366852E-11</v>
      </c>
    </row>
    <row r="82" spans="1:2" ht="18.5" x14ac:dyDescent="0.45">
      <c r="A82" s="801" t="s">
        <v>197</v>
      </c>
      <c r="B82" s="782">
        <v>-2.9103830456733704E-11</v>
      </c>
    </row>
    <row r="83" spans="1:2" ht="18.5" x14ac:dyDescent="0.45">
      <c r="A83" s="806" t="s">
        <v>482</v>
      </c>
      <c r="B83" s="782">
        <v>-2.9103830456733704E-11</v>
      </c>
    </row>
    <row r="84" spans="1:2" ht="18.5" x14ac:dyDescent="0.45">
      <c r="A84" s="806" t="s">
        <v>370</v>
      </c>
      <c r="B84" s="782">
        <v>-2.0000000009604264</v>
      </c>
    </row>
    <row r="85" spans="1:2" ht="18.5" x14ac:dyDescent="0.45">
      <c r="A85" s="806" t="s">
        <v>343</v>
      </c>
      <c r="B85" s="782">
        <v>-36.199999999837019</v>
      </c>
    </row>
    <row r="86" spans="1:2" ht="18.5" x14ac:dyDescent="0.45">
      <c r="A86" s="806" t="s">
        <v>91</v>
      </c>
      <c r="B86" s="782">
        <v>-501.40999999968335</v>
      </c>
    </row>
    <row r="87" spans="1:2" ht="18.5" x14ac:dyDescent="0.45">
      <c r="A87" s="806" t="s">
        <v>80</v>
      </c>
      <c r="B87" s="782">
        <v>-2184.6839999999829</v>
      </c>
    </row>
    <row r="88" spans="1:2" ht="18.5" x14ac:dyDescent="0.45">
      <c r="A88" s="643" t="s">
        <v>189</v>
      </c>
      <c r="B88" s="782">
        <v>-2348.8999999994412</v>
      </c>
    </row>
    <row r="89" spans="1:2" ht="18.5" x14ac:dyDescent="0.45">
      <c r="A89" s="801" t="s">
        <v>417</v>
      </c>
      <c r="B89" s="782">
        <v>-2858.9200000000928</v>
      </c>
    </row>
    <row r="90" spans="1:2" ht="18.5" x14ac:dyDescent="0.45">
      <c r="A90" s="806" t="s">
        <v>89</v>
      </c>
      <c r="B90" s="782">
        <v>-4655.5600000000559</v>
      </c>
    </row>
    <row r="91" spans="1:2" ht="18.5" x14ac:dyDescent="0.45">
      <c r="A91" s="806" t="s">
        <v>63</v>
      </c>
      <c r="B91" s="782">
        <v>-4925.8499999995111</v>
      </c>
    </row>
    <row r="92" spans="1:2" ht="18.5" x14ac:dyDescent="0.45">
      <c r="A92" s="806" t="s">
        <v>84</v>
      </c>
      <c r="B92" s="782">
        <v>-5959.0299999996205</v>
      </c>
    </row>
    <row r="93" spans="1:2" ht="18.5" x14ac:dyDescent="0.45">
      <c r="A93" s="806" t="s">
        <v>76</v>
      </c>
      <c r="B93" s="782">
        <v>-6676.2799999998833</v>
      </c>
    </row>
    <row r="94" spans="1:2" ht="18.5" x14ac:dyDescent="0.45">
      <c r="A94" s="806" t="s">
        <v>439</v>
      </c>
      <c r="B94" s="782">
        <v>-21803.759999999998</v>
      </c>
    </row>
    <row r="95" spans="1:2" ht="18.5" x14ac:dyDescent="0.45">
      <c r="A95" s="806" t="s">
        <v>191</v>
      </c>
      <c r="B95" s="782">
        <v>-29297.360000000015</v>
      </c>
    </row>
    <row r="96" spans="1:2" ht="18.5" x14ac:dyDescent="0.45">
      <c r="A96" s="806" t="s">
        <v>77</v>
      </c>
      <c r="B96" s="782">
        <v>-35689.800000000032</v>
      </c>
    </row>
    <row r="97" spans="1:2" ht="18.5" x14ac:dyDescent="0.45">
      <c r="A97" s="806" t="s">
        <v>435</v>
      </c>
      <c r="B97" s="782">
        <v>-39944.120000000003</v>
      </c>
    </row>
    <row r="98" spans="1:2" ht="18.5" x14ac:dyDescent="0.45">
      <c r="A98" s="806" t="s">
        <v>485</v>
      </c>
      <c r="B98" s="782">
        <v>-102407.90000000011</v>
      </c>
    </row>
    <row r="99" spans="1:2" ht="18.5" x14ac:dyDescent="0.45">
      <c r="A99" s="806" t="s">
        <v>78</v>
      </c>
      <c r="B99" s="782">
        <v>-113497.31999998927</v>
      </c>
    </row>
    <row r="100" spans="1:2" ht="18.5" x14ac:dyDescent="0.45">
      <c r="A100" s="806" t="s">
        <v>194</v>
      </c>
      <c r="B100" s="782">
        <v>-115236.29000000001</v>
      </c>
    </row>
    <row r="101" spans="1:2" ht="18.5" x14ac:dyDescent="0.45">
      <c r="A101" s="806" t="s">
        <v>441</v>
      </c>
      <c r="B101" s="782">
        <v>-135954.03000000003</v>
      </c>
    </row>
    <row r="102" spans="1:2" ht="18.5" x14ac:dyDescent="0.45">
      <c r="A102" s="806" t="s">
        <v>371</v>
      </c>
      <c r="B102" s="782">
        <v>-207956.99000000008</v>
      </c>
    </row>
    <row r="103" spans="1:2" ht="18.5" x14ac:dyDescent="0.45">
      <c r="A103" s="806" t="s">
        <v>55</v>
      </c>
      <c r="B103" s="782">
        <v>-221089.2</v>
      </c>
    </row>
    <row r="104" spans="1:2" ht="18.5" x14ac:dyDescent="0.45">
      <c r="A104" s="806" t="s">
        <v>190</v>
      </c>
      <c r="B104" s="782">
        <v>-265954.98</v>
      </c>
    </row>
    <row r="105" spans="1:2" ht="18.5" x14ac:dyDescent="0.45">
      <c r="A105" s="643" t="s">
        <v>24</v>
      </c>
      <c r="B105" s="782">
        <v>-329683.53599999688</v>
      </c>
    </row>
    <row r="106" spans="1:2" ht="18.5" x14ac:dyDescent="0.45">
      <c r="A106" s="806" t="s">
        <v>438</v>
      </c>
      <c r="B106" s="819">
        <v>-1120862.76</v>
      </c>
    </row>
  </sheetData>
  <sortState xmlns:xlrd2="http://schemas.microsoft.com/office/spreadsheetml/2017/richdata2" ref="A1:B106">
    <sortCondition descending="1" ref="B1:B106"/>
  </sortState>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3013B-FDCA-4696-B294-6F1BAE9D1658}">
  <dimension ref="A1:B106"/>
  <sheetViews>
    <sheetView workbookViewId="0"/>
  </sheetViews>
  <sheetFormatPr defaultRowHeight="14.5" x14ac:dyDescent="0.35"/>
  <cols>
    <col min="1" max="1" width="89.453125" customWidth="1"/>
    <col min="2" max="2" width="27.36328125" customWidth="1"/>
  </cols>
  <sheetData>
    <row r="1" spans="1:2" ht="21" x14ac:dyDescent="0.5">
      <c r="A1" s="631" t="s">
        <v>666</v>
      </c>
      <c r="B1" s="721">
        <v>41719773.766600057</v>
      </c>
    </row>
    <row r="2" spans="1:2" ht="21" x14ac:dyDescent="0.5">
      <c r="A2" s="631" t="s">
        <v>667</v>
      </c>
      <c r="B2" s="721">
        <v>15485534.876000009</v>
      </c>
    </row>
    <row r="3" spans="1:2" ht="21" x14ac:dyDescent="0.5">
      <c r="A3" s="631" t="s">
        <v>227</v>
      </c>
      <c r="B3" s="721">
        <v>28956520.109999999</v>
      </c>
    </row>
    <row r="4" spans="1:2" ht="21" x14ac:dyDescent="0.5">
      <c r="A4" s="631" t="s">
        <v>266</v>
      </c>
      <c r="B4" s="721">
        <v>5313435.4400000134</v>
      </c>
    </row>
    <row r="5" spans="1:2" ht="21" x14ac:dyDescent="0.5">
      <c r="A5" s="631" t="s">
        <v>224</v>
      </c>
      <c r="B5" s="721">
        <v>3667212.4499999983</v>
      </c>
    </row>
    <row r="6" spans="1:2" ht="21" x14ac:dyDescent="0.5">
      <c r="A6" s="631" t="s">
        <v>278</v>
      </c>
      <c r="B6" s="723">
        <v>2398757.8940000189</v>
      </c>
    </row>
    <row r="7" spans="1:2" ht="21" x14ac:dyDescent="0.5">
      <c r="A7" s="631" t="s">
        <v>247</v>
      </c>
      <c r="B7" s="721">
        <v>4300900.1999999955</v>
      </c>
    </row>
    <row r="8" spans="1:2" ht="21" x14ac:dyDescent="0.5">
      <c r="A8" s="631" t="s">
        <v>286</v>
      </c>
      <c r="B8" s="721">
        <v>604156.05999999994</v>
      </c>
    </row>
    <row r="9" spans="1:2" ht="21" x14ac:dyDescent="0.5">
      <c r="A9" s="631" t="s">
        <v>223</v>
      </c>
      <c r="B9" s="721">
        <v>6903798.9800000004</v>
      </c>
    </row>
    <row r="10" spans="1:2" ht="21" x14ac:dyDescent="0.5">
      <c r="A10" s="631" t="s">
        <v>668</v>
      </c>
      <c r="B10" s="721">
        <v>8023574.6000000006</v>
      </c>
    </row>
    <row r="11" spans="1:2" ht="21" x14ac:dyDescent="0.5">
      <c r="A11" s="631" t="s">
        <v>669</v>
      </c>
      <c r="B11" s="721">
        <v>1631887.6800000002</v>
      </c>
    </row>
    <row r="12" spans="1:2" ht="21" x14ac:dyDescent="0.5">
      <c r="A12" s="631" t="s">
        <v>225</v>
      </c>
      <c r="B12" s="721">
        <v>2027685.0900000089</v>
      </c>
    </row>
    <row r="13" spans="1:2" ht="21" x14ac:dyDescent="0.5">
      <c r="A13" s="631" t="s">
        <v>287</v>
      </c>
      <c r="B13" s="721">
        <v>954801.92000000016</v>
      </c>
    </row>
    <row r="14" spans="1:2" ht="21" x14ac:dyDescent="0.5">
      <c r="A14" s="631" t="s">
        <v>269</v>
      </c>
      <c r="B14" s="721">
        <v>2052359.26</v>
      </c>
    </row>
    <row r="15" spans="1:2" ht="21" x14ac:dyDescent="0.5">
      <c r="A15" s="631" t="s">
        <v>264</v>
      </c>
      <c r="B15" s="721">
        <v>2359884.08</v>
      </c>
    </row>
    <row r="16" spans="1:2" ht="21" x14ac:dyDescent="0.5">
      <c r="A16" s="631" t="s">
        <v>236</v>
      </c>
      <c r="B16" s="721">
        <v>1170171.18</v>
      </c>
    </row>
    <row r="17" spans="1:2" ht="21" x14ac:dyDescent="0.5">
      <c r="A17" s="631" t="s">
        <v>237</v>
      </c>
      <c r="B17" s="721">
        <v>1145624.99</v>
      </c>
    </row>
    <row r="18" spans="1:2" ht="21" x14ac:dyDescent="0.5">
      <c r="A18" s="631" t="s">
        <v>670</v>
      </c>
      <c r="B18" s="721">
        <v>1076450.94</v>
      </c>
    </row>
    <row r="19" spans="1:2" ht="21" x14ac:dyDescent="0.5">
      <c r="A19" s="631" t="s">
        <v>270</v>
      </c>
      <c r="B19" s="722">
        <v>487633.20999999915</v>
      </c>
    </row>
    <row r="20" spans="1:2" ht="21" x14ac:dyDescent="0.5">
      <c r="A20" s="631" t="s">
        <v>671</v>
      </c>
      <c r="B20" s="721">
        <v>987533.8</v>
      </c>
    </row>
    <row r="21" spans="1:2" ht="21" x14ac:dyDescent="0.5">
      <c r="A21" s="631" t="s">
        <v>258</v>
      </c>
      <c r="B21" s="723">
        <v>161154.30000000002</v>
      </c>
    </row>
    <row r="22" spans="1:2" ht="21" x14ac:dyDescent="0.5">
      <c r="A22" s="631" t="s">
        <v>672</v>
      </c>
      <c r="B22" s="721">
        <v>926510.44999999949</v>
      </c>
    </row>
    <row r="23" spans="1:2" ht="21" x14ac:dyDescent="0.5">
      <c r="A23" s="631" t="s">
        <v>260</v>
      </c>
      <c r="B23" s="723">
        <v>857832.52</v>
      </c>
    </row>
    <row r="24" spans="1:2" ht="21" x14ac:dyDescent="0.5">
      <c r="A24" s="631" t="s">
        <v>218</v>
      </c>
      <c r="B24" s="723">
        <v>968300.6</v>
      </c>
    </row>
    <row r="25" spans="1:2" ht="21" x14ac:dyDescent="0.5">
      <c r="A25" s="631" t="s">
        <v>215</v>
      </c>
      <c r="B25" s="721">
        <v>1794437.7500000012</v>
      </c>
    </row>
    <row r="26" spans="1:2" ht="21" x14ac:dyDescent="0.5">
      <c r="A26" s="631" t="s">
        <v>267</v>
      </c>
      <c r="B26" s="721">
        <v>555442.44999999995</v>
      </c>
    </row>
    <row r="27" spans="1:2" ht="21" x14ac:dyDescent="0.5">
      <c r="A27" s="631" t="s">
        <v>268</v>
      </c>
      <c r="B27" s="721">
        <v>-329683.53599999688</v>
      </c>
    </row>
    <row r="28" spans="1:2" ht="21" x14ac:dyDescent="0.5">
      <c r="A28" s="631" t="s">
        <v>673</v>
      </c>
      <c r="B28" s="721">
        <v>706280.5</v>
      </c>
    </row>
    <row r="29" spans="1:2" ht="21" x14ac:dyDescent="0.5">
      <c r="A29" s="631" t="s">
        <v>243</v>
      </c>
      <c r="B29" s="721">
        <v>583040</v>
      </c>
    </row>
    <row r="30" spans="1:2" ht="21" x14ac:dyDescent="0.5">
      <c r="A30" s="631" t="s">
        <v>279</v>
      </c>
      <c r="B30" s="721">
        <v>1027469.2800000003</v>
      </c>
    </row>
    <row r="31" spans="1:2" ht="21" x14ac:dyDescent="0.5">
      <c r="A31" s="631" t="s">
        <v>674</v>
      </c>
      <c r="B31" s="723">
        <v>468876.14000000129</v>
      </c>
    </row>
    <row r="32" spans="1:2" ht="21" x14ac:dyDescent="0.5">
      <c r="A32" s="631" t="s">
        <v>675</v>
      </c>
      <c r="B32" s="721">
        <v>663774.71000000008</v>
      </c>
    </row>
    <row r="33" spans="1:2" ht="21" x14ac:dyDescent="0.5">
      <c r="A33" s="631" t="s">
        <v>252</v>
      </c>
      <c r="B33" s="721">
        <v>0</v>
      </c>
    </row>
    <row r="34" spans="1:2" ht="21" x14ac:dyDescent="0.5">
      <c r="A34" s="631" t="s">
        <v>265</v>
      </c>
      <c r="B34" s="721">
        <v>1077790.3799999999</v>
      </c>
    </row>
    <row r="35" spans="1:2" ht="21" x14ac:dyDescent="0.5">
      <c r="A35" s="631" t="s">
        <v>234</v>
      </c>
      <c r="B35" s="721">
        <v>2230642.86</v>
      </c>
    </row>
    <row r="36" spans="1:2" ht="21" x14ac:dyDescent="0.5">
      <c r="A36" s="631" t="s">
        <v>676</v>
      </c>
      <c r="B36" s="721">
        <v>-102407.9</v>
      </c>
    </row>
    <row r="37" spans="1:2" ht="21" x14ac:dyDescent="0.5">
      <c r="A37" s="631" t="s">
        <v>256</v>
      </c>
      <c r="B37" s="721">
        <v>603997.8199999996</v>
      </c>
    </row>
    <row r="38" spans="1:2" ht="21" x14ac:dyDescent="0.5">
      <c r="A38" s="631" t="s">
        <v>263</v>
      </c>
      <c r="B38" s="721">
        <v>1638721.2199999997</v>
      </c>
    </row>
    <row r="39" spans="1:2" ht="21" x14ac:dyDescent="0.5">
      <c r="A39" s="647" t="s">
        <v>677</v>
      </c>
      <c r="B39" s="723">
        <v>13110.098300178106</v>
      </c>
    </row>
    <row r="40" spans="1:2" ht="21" x14ac:dyDescent="0.5">
      <c r="A40" s="631" t="s">
        <v>678</v>
      </c>
      <c r="B40" s="721">
        <v>281478.99</v>
      </c>
    </row>
    <row r="41" spans="1:2" ht="21" x14ac:dyDescent="0.5">
      <c r="A41" s="646" t="s">
        <v>679</v>
      </c>
      <c r="B41" s="723">
        <v>220830.55</v>
      </c>
    </row>
    <row r="42" spans="1:2" ht="21" x14ac:dyDescent="0.5">
      <c r="A42" s="631" t="s">
        <v>680</v>
      </c>
      <c r="B42" s="721">
        <v>182440.8</v>
      </c>
    </row>
    <row r="43" spans="1:2" ht="21" x14ac:dyDescent="0.5">
      <c r="A43" s="631" t="s">
        <v>276</v>
      </c>
      <c r="B43" s="721">
        <v>194345.89</v>
      </c>
    </row>
    <row r="44" spans="1:2" ht="21" x14ac:dyDescent="0.5">
      <c r="A44" s="631" t="s">
        <v>271</v>
      </c>
      <c r="B44" s="721">
        <v>234084.26</v>
      </c>
    </row>
    <row r="45" spans="1:2" ht="21" x14ac:dyDescent="0.5">
      <c r="A45" s="631" t="s">
        <v>255</v>
      </c>
      <c r="B45" s="721">
        <v>592568.24</v>
      </c>
    </row>
    <row r="46" spans="1:2" ht="21" x14ac:dyDescent="0.5">
      <c r="A46" s="631" t="s">
        <v>681</v>
      </c>
      <c r="B46" s="721">
        <v>102528.02000000025</v>
      </c>
    </row>
    <row r="47" spans="1:2" ht="21" x14ac:dyDescent="0.5">
      <c r="A47" s="631" t="s">
        <v>222</v>
      </c>
      <c r="B47" s="721">
        <v>171060</v>
      </c>
    </row>
    <row r="48" spans="1:2" ht="21" x14ac:dyDescent="0.5">
      <c r="A48" s="631" t="s">
        <v>246</v>
      </c>
      <c r="B48" s="721">
        <v>155040</v>
      </c>
    </row>
    <row r="49" spans="1:2" ht="21" x14ac:dyDescent="0.5">
      <c r="A49" s="631" t="s">
        <v>682</v>
      </c>
      <c r="B49" s="721">
        <v>-2</v>
      </c>
    </row>
    <row r="50" spans="1:2" ht="21" x14ac:dyDescent="0.5">
      <c r="A50" s="631" t="s">
        <v>219</v>
      </c>
      <c r="B50" s="721">
        <v>218726</v>
      </c>
    </row>
    <row r="51" spans="1:2" ht="21" x14ac:dyDescent="0.5">
      <c r="A51" s="631" t="s">
        <v>141</v>
      </c>
      <c r="B51" s="721">
        <v>0</v>
      </c>
    </row>
    <row r="52" spans="1:2" ht="21" x14ac:dyDescent="0.5">
      <c r="A52" s="631" t="s">
        <v>250</v>
      </c>
      <c r="B52" s="721">
        <v>15396</v>
      </c>
    </row>
    <row r="53" spans="1:2" ht="21" x14ac:dyDescent="0.5">
      <c r="A53" s="632" t="s">
        <v>683</v>
      </c>
      <c r="B53" s="723">
        <v>241527.56</v>
      </c>
    </row>
    <row r="54" spans="1:2" ht="21" x14ac:dyDescent="0.5">
      <c r="A54" s="631" t="s">
        <v>272</v>
      </c>
      <c r="B54" s="721">
        <v>7947</v>
      </c>
    </row>
    <row r="55" spans="1:2" ht="21" x14ac:dyDescent="0.5">
      <c r="A55" s="631" t="s">
        <v>235</v>
      </c>
      <c r="B55" s="721">
        <v>50356.749999999985</v>
      </c>
    </row>
    <row r="56" spans="1:2" ht="21" x14ac:dyDescent="0.5">
      <c r="A56" s="631" t="s">
        <v>111</v>
      </c>
      <c r="B56" s="721">
        <v>251630.36999999997</v>
      </c>
    </row>
    <row r="57" spans="1:2" ht="21" x14ac:dyDescent="0.5">
      <c r="A57" s="631" t="s">
        <v>216</v>
      </c>
      <c r="B57" s="721">
        <v>234617.91</v>
      </c>
    </row>
    <row r="58" spans="1:2" ht="21" x14ac:dyDescent="0.5">
      <c r="A58" s="631" t="s">
        <v>684</v>
      </c>
      <c r="B58" s="721">
        <v>30474.279999999984</v>
      </c>
    </row>
    <row r="59" spans="1:2" ht="21" x14ac:dyDescent="0.5">
      <c r="A59" s="631" t="s">
        <v>685</v>
      </c>
      <c r="B59" s="721">
        <v>168923.66</v>
      </c>
    </row>
    <row r="60" spans="1:2" ht="21" x14ac:dyDescent="0.5">
      <c r="A60" s="631" t="s">
        <v>503</v>
      </c>
      <c r="B60" s="721">
        <v>73202.629999999976</v>
      </c>
    </row>
    <row r="61" spans="1:2" ht="21" x14ac:dyDescent="0.5">
      <c r="A61" s="631" t="s">
        <v>511</v>
      </c>
      <c r="B61" s="721">
        <v>316908.69</v>
      </c>
    </row>
    <row r="62" spans="1:2" ht="21" x14ac:dyDescent="0.5">
      <c r="A62" s="631" t="s">
        <v>157</v>
      </c>
      <c r="B62" s="721">
        <v>0</v>
      </c>
    </row>
    <row r="63" spans="1:2" ht="21" x14ac:dyDescent="0.5">
      <c r="A63" s="633" t="s">
        <v>686</v>
      </c>
      <c r="B63" s="721">
        <v>306712.05</v>
      </c>
    </row>
    <row r="64" spans="1:2" ht="21" x14ac:dyDescent="0.5">
      <c r="A64" s="633" t="s">
        <v>505</v>
      </c>
      <c r="B64" s="721">
        <v>8345.2899999999991</v>
      </c>
    </row>
    <row r="65" spans="1:2" ht="21" x14ac:dyDescent="0.5">
      <c r="A65" s="632" t="s">
        <v>687</v>
      </c>
      <c r="B65" s="721">
        <v>0</v>
      </c>
    </row>
    <row r="66" spans="1:2" ht="21" x14ac:dyDescent="0.5">
      <c r="A66" s="631" t="s">
        <v>480</v>
      </c>
      <c r="B66" s="721">
        <v>73323.009999999995</v>
      </c>
    </row>
    <row r="67" spans="1:2" ht="21" x14ac:dyDescent="0.5">
      <c r="A67" s="631" t="s">
        <v>688</v>
      </c>
      <c r="B67" s="721">
        <v>23503.47</v>
      </c>
    </row>
    <row r="68" spans="1:2" ht="21" x14ac:dyDescent="0.5">
      <c r="A68" s="631" t="s">
        <v>504</v>
      </c>
      <c r="B68" s="721">
        <v>70508.390000000014</v>
      </c>
    </row>
    <row r="69" spans="1:2" ht="21" x14ac:dyDescent="0.5">
      <c r="A69" s="631" t="s">
        <v>689</v>
      </c>
      <c r="B69" s="721">
        <v>41772.270000000004</v>
      </c>
    </row>
    <row r="70" spans="1:2" ht="21" x14ac:dyDescent="0.5">
      <c r="A70" s="631" t="s">
        <v>690</v>
      </c>
      <c r="B70" s="721">
        <v>0</v>
      </c>
    </row>
    <row r="71" spans="1:2" ht="21" x14ac:dyDescent="0.5">
      <c r="A71" s="632" t="s">
        <v>691</v>
      </c>
      <c r="B71" s="721">
        <v>17873.900000000001</v>
      </c>
    </row>
    <row r="72" spans="1:2" ht="21" x14ac:dyDescent="0.5">
      <c r="A72" s="633" t="s">
        <v>692</v>
      </c>
      <c r="B72" s="721">
        <v>16268.82</v>
      </c>
    </row>
    <row r="73" spans="1:2" ht="21" x14ac:dyDescent="0.5">
      <c r="A73" s="631" t="s">
        <v>502</v>
      </c>
      <c r="B73" s="721">
        <v>8773.1399999999958</v>
      </c>
    </row>
    <row r="74" spans="1:2" ht="21" x14ac:dyDescent="0.5">
      <c r="A74" s="633" t="s">
        <v>693</v>
      </c>
      <c r="B74" s="721">
        <v>32572.510000000002</v>
      </c>
    </row>
    <row r="75" spans="1:2" ht="21" x14ac:dyDescent="0.5">
      <c r="A75" s="631" t="s">
        <v>133</v>
      </c>
      <c r="B75" s="721">
        <v>0</v>
      </c>
    </row>
    <row r="76" spans="1:2" ht="21" x14ac:dyDescent="0.5">
      <c r="A76" s="631" t="s">
        <v>525</v>
      </c>
      <c r="B76" s="721">
        <v>64989.42</v>
      </c>
    </row>
    <row r="77" spans="1:2" ht="21" x14ac:dyDescent="0.5">
      <c r="A77" s="631" t="s">
        <v>136</v>
      </c>
      <c r="B77" s="721">
        <v>0</v>
      </c>
    </row>
    <row r="78" spans="1:2" ht="21" x14ac:dyDescent="0.5">
      <c r="A78" s="631" t="s">
        <v>273</v>
      </c>
      <c r="B78" s="721">
        <v>-2184.6839999999829</v>
      </c>
    </row>
    <row r="79" spans="1:2" ht="21" x14ac:dyDescent="0.5">
      <c r="A79" s="631" t="s">
        <v>128</v>
      </c>
      <c r="B79" s="721">
        <v>834.78</v>
      </c>
    </row>
    <row r="80" spans="1:2" ht="21" x14ac:dyDescent="0.5">
      <c r="A80" s="631" t="s">
        <v>508</v>
      </c>
      <c r="B80" s="721">
        <v>731.7</v>
      </c>
    </row>
    <row r="81" spans="1:2" ht="21" x14ac:dyDescent="0.5">
      <c r="A81" s="631" t="s">
        <v>509</v>
      </c>
      <c r="B81" s="721">
        <v>416348.5</v>
      </c>
    </row>
    <row r="82" spans="1:2" ht="21" x14ac:dyDescent="0.5">
      <c r="A82" s="631" t="s">
        <v>694</v>
      </c>
      <c r="B82" s="721">
        <v>0</v>
      </c>
    </row>
    <row r="83" spans="1:2" ht="21" x14ac:dyDescent="0.5">
      <c r="A83" s="631" t="s">
        <v>459</v>
      </c>
      <c r="B83" s="721">
        <v>94994.15</v>
      </c>
    </row>
    <row r="84" spans="1:2" ht="21" x14ac:dyDescent="0.5">
      <c r="A84" s="631" t="s">
        <v>695</v>
      </c>
      <c r="B84" s="721">
        <v>8626.7799999999988</v>
      </c>
    </row>
    <row r="85" spans="1:2" ht="21" x14ac:dyDescent="0.5">
      <c r="A85" s="631" t="s">
        <v>696</v>
      </c>
      <c r="B85" s="721">
        <v>2512194.75</v>
      </c>
    </row>
    <row r="86" spans="1:2" ht="21" x14ac:dyDescent="0.5">
      <c r="A86" s="631" t="s">
        <v>697</v>
      </c>
      <c r="B86" s="721">
        <v>18446.39</v>
      </c>
    </row>
    <row r="87" spans="1:2" ht="21" x14ac:dyDescent="0.5">
      <c r="A87" s="631" t="s">
        <v>698</v>
      </c>
      <c r="B87" s="721">
        <v>0</v>
      </c>
    </row>
    <row r="88" spans="1:2" ht="21" x14ac:dyDescent="0.5">
      <c r="A88" s="631" t="s">
        <v>699</v>
      </c>
      <c r="B88" s="721">
        <v>-36.199999999953434</v>
      </c>
    </row>
    <row r="89" spans="1:2" ht="21" x14ac:dyDescent="0.5">
      <c r="A89" s="631" t="s">
        <v>289</v>
      </c>
      <c r="B89" s="721">
        <v>-501.41</v>
      </c>
    </row>
    <row r="90" spans="1:2" ht="21" x14ac:dyDescent="0.5">
      <c r="A90" s="631" t="s">
        <v>283</v>
      </c>
      <c r="B90" s="721">
        <v>-2348.9</v>
      </c>
    </row>
    <row r="91" spans="1:2" ht="21" x14ac:dyDescent="0.5">
      <c r="A91" s="631" t="s">
        <v>700</v>
      </c>
      <c r="B91" s="721">
        <v>-2858.9200000000346</v>
      </c>
    </row>
    <row r="92" spans="1:2" ht="21" x14ac:dyDescent="0.5">
      <c r="A92" s="631" t="s">
        <v>281</v>
      </c>
      <c r="B92" s="721">
        <v>-4655.5600000000004</v>
      </c>
    </row>
    <row r="93" spans="1:2" ht="21" x14ac:dyDescent="0.5">
      <c r="A93" s="631" t="s">
        <v>244</v>
      </c>
      <c r="B93" s="721">
        <v>-4925.8500000000004</v>
      </c>
    </row>
    <row r="94" spans="1:2" ht="21" x14ac:dyDescent="0.5">
      <c r="A94" s="631" t="s">
        <v>253</v>
      </c>
      <c r="B94" s="721">
        <v>-5959.03</v>
      </c>
    </row>
    <row r="95" spans="1:2" ht="21" x14ac:dyDescent="0.5">
      <c r="A95" s="631" t="s">
        <v>291</v>
      </c>
      <c r="B95" s="721">
        <v>-6676.28</v>
      </c>
    </row>
    <row r="96" spans="1:2" ht="21" x14ac:dyDescent="0.5">
      <c r="A96" s="631" t="s">
        <v>102</v>
      </c>
      <c r="B96" s="721">
        <v>-21803.759999999998</v>
      </c>
    </row>
    <row r="97" spans="1:2" ht="21" x14ac:dyDescent="0.5">
      <c r="A97" s="631" t="s">
        <v>122</v>
      </c>
      <c r="B97" s="721">
        <v>-29297.360000000001</v>
      </c>
    </row>
    <row r="98" spans="1:2" ht="21" x14ac:dyDescent="0.5">
      <c r="A98" s="634" t="s">
        <v>132</v>
      </c>
      <c r="B98" s="721">
        <v>-35689.800000000003</v>
      </c>
    </row>
    <row r="99" spans="1:2" ht="21" x14ac:dyDescent="0.5">
      <c r="A99" s="634" t="s">
        <v>107</v>
      </c>
      <c r="B99" s="721">
        <v>-39944.120000000003</v>
      </c>
    </row>
    <row r="100" spans="1:2" ht="21" x14ac:dyDescent="0.5">
      <c r="A100" s="634" t="s">
        <v>221</v>
      </c>
      <c r="B100" s="721">
        <v>-113497.32</v>
      </c>
    </row>
    <row r="101" spans="1:2" ht="21" x14ac:dyDescent="0.5">
      <c r="A101" s="634" t="s">
        <v>249</v>
      </c>
      <c r="B101" s="721">
        <v>-115236.29</v>
      </c>
    </row>
    <row r="102" spans="1:2" ht="21" x14ac:dyDescent="0.5">
      <c r="A102" s="634" t="s">
        <v>701</v>
      </c>
      <c r="B102" s="721">
        <v>-135954.03</v>
      </c>
    </row>
    <row r="103" spans="1:2" ht="21" x14ac:dyDescent="0.5">
      <c r="A103" s="634" t="s">
        <v>702</v>
      </c>
      <c r="B103" s="721">
        <v>-207956.99</v>
      </c>
    </row>
    <row r="104" spans="1:2" ht="21" x14ac:dyDescent="0.5">
      <c r="A104" s="635" t="s">
        <v>245</v>
      </c>
      <c r="B104" s="721">
        <v>-221089.2</v>
      </c>
    </row>
    <row r="105" spans="1:2" ht="21" x14ac:dyDescent="0.5">
      <c r="A105" s="634" t="s">
        <v>282</v>
      </c>
      <c r="B105" s="721">
        <v>-265954.98</v>
      </c>
    </row>
    <row r="106" spans="1:2" ht="21" x14ac:dyDescent="0.5">
      <c r="A106" s="634" t="s">
        <v>703</v>
      </c>
      <c r="B106" s="724">
        <v>-1120862.76</v>
      </c>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E55DF-AAED-474B-9282-0B0A9BD9C3D4}">
  <dimension ref="A1:B106"/>
  <sheetViews>
    <sheetView workbookViewId="0">
      <selection activeCell="B2" sqref="B2"/>
    </sheetView>
  </sheetViews>
  <sheetFormatPr defaultRowHeight="14.5" x14ac:dyDescent="0.35"/>
  <cols>
    <col min="1" max="1" width="81.36328125" customWidth="1"/>
  </cols>
  <sheetData>
    <row r="1" spans="1:2" ht="21" x14ac:dyDescent="0.5">
      <c r="A1" s="631" t="s">
        <v>666</v>
      </c>
      <c r="B1" s="682">
        <v>41719773.766600057</v>
      </c>
    </row>
    <row r="2" spans="1:2" ht="21" x14ac:dyDescent="0.5">
      <c r="A2" s="631" t="s">
        <v>667</v>
      </c>
      <c r="B2" s="682">
        <v>15485534.876000009</v>
      </c>
    </row>
    <row r="3" spans="1:2" ht="21" x14ac:dyDescent="0.5">
      <c r="A3" s="631" t="s">
        <v>227</v>
      </c>
      <c r="B3" s="682">
        <v>28956520.109999999</v>
      </c>
    </row>
    <row r="4" spans="1:2" ht="21" x14ac:dyDescent="0.5">
      <c r="A4" s="631" t="s">
        <v>266</v>
      </c>
      <c r="B4" s="682">
        <v>5313435.4400000134</v>
      </c>
    </row>
    <row r="5" spans="1:2" ht="21" x14ac:dyDescent="0.5">
      <c r="A5" s="631" t="s">
        <v>224</v>
      </c>
      <c r="B5" s="682">
        <v>3667212.4499999983</v>
      </c>
    </row>
    <row r="6" spans="1:2" ht="21" x14ac:dyDescent="0.5">
      <c r="A6" s="631" t="s">
        <v>278</v>
      </c>
      <c r="B6" s="682">
        <v>2398757.8940000189</v>
      </c>
    </row>
    <row r="7" spans="1:2" ht="21" x14ac:dyDescent="0.5">
      <c r="A7" s="631" t="s">
        <v>247</v>
      </c>
      <c r="B7" s="682">
        <v>4300900.1999999955</v>
      </c>
    </row>
    <row r="8" spans="1:2" ht="21" x14ac:dyDescent="0.5">
      <c r="A8" s="631" t="s">
        <v>286</v>
      </c>
      <c r="B8" s="682">
        <v>604156.05999999994</v>
      </c>
    </row>
    <row r="9" spans="1:2" ht="21" x14ac:dyDescent="0.5">
      <c r="A9" s="631" t="s">
        <v>223</v>
      </c>
      <c r="B9" s="682">
        <v>6903798.9800000004</v>
      </c>
    </row>
    <row r="10" spans="1:2" ht="21" x14ac:dyDescent="0.5">
      <c r="A10" s="631" t="s">
        <v>668</v>
      </c>
      <c r="B10" s="682">
        <v>8023574.6000000006</v>
      </c>
    </row>
    <row r="11" spans="1:2" ht="21" x14ac:dyDescent="0.5">
      <c r="A11" s="631" t="s">
        <v>669</v>
      </c>
      <c r="B11" s="682">
        <v>1631887.6800000002</v>
      </c>
    </row>
    <row r="12" spans="1:2" ht="21" x14ac:dyDescent="0.5">
      <c r="A12" s="631" t="s">
        <v>225</v>
      </c>
      <c r="B12" s="682">
        <v>2027685.0900000089</v>
      </c>
    </row>
    <row r="13" spans="1:2" ht="21" x14ac:dyDescent="0.5">
      <c r="A13" s="631" t="s">
        <v>287</v>
      </c>
      <c r="B13" s="682">
        <v>954801.92000000016</v>
      </c>
    </row>
    <row r="14" spans="1:2" ht="21" x14ac:dyDescent="0.5">
      <c r="A14" s="631" t="s">
        <v>269</v>
      </c>
      <c r="B14" s="682">
        <v>2052359.26</v>
      </c>
    </row>
    <row r="15" spans="1:2" ht="21" x14ac:dyDescent="0.5">
      <c r="A15" s="631" t="s">
        <v>264</v>
      </c>
      <c r="B15" s="682">
        <v>2359884.08</v>
      </c>
    </row>
    <row r="16" spans="1:2" ht="21" x14ac:dyDescent="0.5">
      <c r="A16" s="631" t="s">
        <v>236</v>
      </c>
      <c r="B16" s="682">
        <v>1170171.18</v>
      </c>
    </row>
    <row r="17" spans="1:2" ht="21" x14ac:dyDescent="0.5">
      <c r="A17" s="631" t="s">
        <v>237</v>
      </c>
      <c r="B17" s="682">
        <v>1145624.99</v>
      </c>
    </row>
    <row r="18" spans="1:2" ht="21" x14ac:dyDescent="0.5">
      <c r="A18" s="631" t="s">
        <v>670</v>
      </c>
      <c r="B18" s="682">
        <v>1076450.94</v>
      </c>
    </row>
    <row r="19" spans="1:2" ht="21" x14ac:dyDescent="0.5">
      <c r="A19" s="631" t="s">
        <v>270</v>
      </c>
      <c r="B19" s="682">
        <v>487633.20999999915</v>
      </c>
    </row>
    <row r="20" spans="1:2" ht="21" x14ac:dyDescent="0.5">
      <c r="A20" s="631" t="s">
        <v>671</v>
      </c>
      <c r="B20" s="682">
        <v>987533.8</v>
      </c>
    </row>
    <row r="21" spans="1:2" ht="21" x14ac:dyDescent="0.5">
      <c r="A21" s="631" t="s">
        <v>258</v>
      </c>
      <c r="B21" s="682">
        <v>161154.30000000002</v>
      </c>
    </row>
    <row r="22" spans="1:2" ht="21" x14ac:dyDescent="0.5">
      <c r="A22" s="631" t="s">
        <v>672</v>
      </c>
      <c r="B22" s="682">
        <v>926510.44999999949</v>
      </c>
    </row>
    <row r="23" spans="1:2" ht="21" x14ac:dyDescent="0.5">
      <c r="A23" s="631" t="s">
        <v>260</v>
      </c>
      <c r="B23" s="682">
        <v>857832.52</v>
      </c>
    </row>
    <row r="24" spans="1:2" ht="21" x14ac:dyDescent="0.5">
      <c r="A24" s="631" t="s">
        <v>218</v>
      </c>
      <c r="B24" s="682">
        <v>968300.6</v>
      </c>
    </row>
    <row r="25" spans="1:2" ht="21" x14ac:dyDescent="0.5">
      <c r="A25" s="631" t="s">
        <v>215</v>
      </c>
      <c r="B25" s="682">
        <v>1794437.7500000012</v>
      </c>
    </row>
    <row r="26" spans="1:2" ht="21" x14ac:dyDescent="0.5">
      <c r="A26" s="631" t="s">
        <v>267</v>
      </c>
      <c r="B26" s="682">
        <v>555442.44999999995</v>
      </c>
    </row>
    <row r="27" spans="1:2" ht="21" x14ac:dyDescent="0.5">
      <c r="A27" s="631" t="s">
        <v>268</v>
      </c>
      <c r="B27" s="682">
        <v>-329683.53599999688</v>
      </c>
    </row>
    <row r="28" spans="1:2" ht="21" x14ac:dyDescent="0.5">
      <c r="A28" s="631" t="s">
        <v>673</v>
      </c>
      <c r="B28" s="682">
        <v>706280.5</v>
      </c>
    </row>
    <row r="29" spans="1:2" ht="21" x14ac:dyDescent="0.5">
      <c r="A29" s="631" t="s">
        <v>243</v>
      </c>
      <c r="B29" s="682">
        <v>583040</v>
      </c>
    </row>
    <row r="30" spans="1:2" ht="21" x14ac:dyDescent="0.5">
      <c r="A30" s="631" t="s">
        <v>279</v>
      </c>
      <c r="B30" s="682">
        <v>1027469.2800000003</v>
      </c>
    </row>
    <row r="31" spans="1:2" ht="21" x14ac:dyDescent="0.5">
      <c r="A31" s="631" t="s">
        <v>674</v>
      </c>
      <c r="B31" s="682">
        <v>468876.14000000129</v>
      </c>
    </row>
    <row r="32" spans="1:2" ht="21" x14ac:dyDescent="0.5">
      <c r="A32" s="631" t="s">
        <v>675</v>
      </c>
      <c r="B32" s="682">
        <v>663774.71000000008</v>
      </c>
    </row>
    <row r="33" spans="1:2" ht="21" x14ac:dyDescent="0.5">
      <c r="A33" s="631" t="s">
        <v>252</v>
      </c>
      <c r="B33" s="682">
        <v>0</v>
      </c>
    </row>
    <row r="34" spans="1:2" ht="21" x14ac:dyDescent="0.5">
      <c r="A34" s="631" t="s">
        <v>265</v>
      </c>
      <c r="B34" s="682">
        <v>1077790.3799999999</v>
      </c>
    </row>
    <row r="35" spans="1:2" ht="21" x14ac:dyDescent="0.5">
      <c r="A35" s="631" t="s">
        <v>234</v>
      </c>
      <c r="B35" s="682">
        <v>2230642.86</v>
      </c>
    </row>
    <row r="36" spans="1:2" ht="21" x14ac:dyDescent="0.5">
      <c r="A36" s="631" t="s">
        <v>676</v>
      </c>
      <c r="B36" s="682">
        <v>-102407.9</v>
      </c>
    </row>
    <row r="37" spans="1:2" ht="21" x14ac:dyDescent="0.5">
      <c r="A37" s="631" t="s">
        <v>256</v>
      </c>
      <c r="B37" s="682">
        <v>603997.8199999996</v>
      </c>
    </row>
    <row r="38" spans="1:2" ht="21" x14ac:dyDescent="0.5">
      <c r="A38" s="631" t="s">
        <v>263</v>
      </c>
      <c r="B38" s="682">
        <v>1638721.2199999997</v>
      </c>
    </row>
    <row r="39" spans="1:2" ht="21" x14ac:dyDescent="0.5">
      <c r="A39" s="647" t="s">
        <v>677</v>
      </c>
      <c r="B39" s="682">
        <v>13110.098300178106</v>
      </c>
    </row>
    <row r="40" spans="1:2" ht="21" x14ac:dyDescent="0.5">
      <c r="A40" s="631" t="s">
        <v>678</v>
      </c>
      <c r="B40" s="682">
        <v>281478.99</v>
      </c>
    </row>
    <row r="41" spans="1:2" ht="21" x14ac:dyDescent="0.5">
      <c r="A41" s="646" t="s">
        <v>679</v>
      </c>
      <c r="B41" s="682">
        <v>220830.55</v>
      </c>
    </row>
    <row r="42" spans="1:2" ht="21" x14ac:dyDescent="0.5">
      <c r="A42" s="631" t="s">
        <v>680</v>
      </c>
      <c r="B42" s="682">
        <v>182440.8</v>
      </c>
    </row>
    <row r="43" spans="1:2" ht="21" x14ac:dyDescent="0.5">
      <c r="A43" s="631" t="s">
        <v>276</v>
      </c>
      <c r="B43" s="682">
        <v>194345.89</v>
      </c>
    </row>
    <row r="44" spans="1:2" ht="21" x14ac:dyDescent="0.5">
      <c r="A44" s="631" t="s">
        <v>271</v>
      </c>
      <c r="B44" s="682">
        <v>234084.26</v>
      </c>
    </row>
    <row r="45" spans="1:2" ht="21" x14ac:dyDescent="0.5">
      <c r="A45" s="631" t="s">
        <v>255</v>
      </c>
      <c r="B45" s="682">
        <v>592568.24</v>
      </c>
    </row>
    <row r="46" spans="1:2" ht="21" x14ac:dyDescent="0.5">
      <c r="A46" s="631" t="s">
        <v>681</v>
      </c>
      <c r="B46" s="682">
        <v>102528.02000000025</v>
      </c>
    </row>
    <row r="47" spans="1:2" ht="21" x14ac:dyDescent="0.5">
      <c r="A47" s="631" t="s">
        <v>222</v>
      </c>
      <c r="B47" s="682">
        <v>171060</v>
      </c>
    </row>
    <row r="48" spans="1:2" ht="21" x14ac:dyDescent="0.5">
      <c r="A48" s="631" t="s">
        <v>246</v>
      </c>
      <c r="B48" s="682">
        <v>155040</v>
      </c>
    </row>
    <row r="49" spans="1:2" ht="21" x14ac:dyDescent="0.5">
      <c r="A49" s="631" t="s">
        <v>682</v>
      </c>
      <c r="B49" s="682">
        <v>-2</v>
      </c>
    </row>
    <row r="50" spans="1:2" ht="21" x14ac:dyDescent="0.5">
      <c r="A50" s="631" t="s">
        <v>219</v>
      </c>
      <c r="B50" s="682">
        <v>218726</v>
      </c>
    </row>
    <row r="51" spans="1:2" ht="21" x14ac:dyDescent="0.5">
      <c r="A51" s="631" t="s">
        <v>141</v>
      </c>
      <c r="B51" s="682">
        <v>0</v>
      </c>
    </row>
    <row r="52" spans="1:2" ht="21" x14ac:dyDescent="0.5">
      <c r="A52" s="631" t="s">
        <v>250</v>
      </c>
      <c r="B52" s="682">
        <v>15396</v>
      </c>
    </row>
    <row r="53" spans="1:2" ht="21" x14ac:dyDescent="0.5">
      <c r="A53" s="632" t="s">
        <v>683</v>
      </c>
      <c r="B53" s="682">
        <v>241527.56</v>
      </c>
    </row>
    <row r="54" spans="1:2" ht="21" x14ac:dyDescent="0.5">
      <c r="A54" s="631" t="s">
        <v>272</v>
      </c>
      <c r="B54" s="682">
        <v>7947</v>
      </c>
    </row>
    <row r="55" spans="1:2" ht="21" x14ac:dyDescent="0.5">
      <c r="A55" s="631" t="s">
        <v>235</v>
      </c>
      <c r="B55" s="682">
        <v>50356.749999999985</v>
      </c>
    </row>
    <row r="56" spans="1:2" ht="21" x14ac:dyDescent="0.5">
      <c r="A56" s="631" t="s">
        <v>111</v>
      </c>
      <c r="B56" s="682">
        <v>251630.36999999997</v>
      </c>
    </row>
    <row r="57" spans="1:2" ht="21" x14ac:dyDescent="0.5">
      <c r="A57" s="631" t="s">
        <v>216</v>
      </c>
      <c r="B57" s="682">
        <v>234617.91</v>
      </c>
    </row>
    <row r="58" spans="1:2" ht="21" x14ac:dyDescent="0.5">
      <c r="A58" s="631" t="s">
        <v>684</v>
      </c>
      <c r="B58" s="682">
        <v>30474.279999999984</v>
      </c>
    </row>
    <row r="59" spans="1:2" ht="21" x14ac:dyDescent="0.5">
      <c r="A59" s="631" t="s">
        <v>685</v>
      </c>
      <c r="B59" s="682">
        <v>168923.66</v>
      </c>
    </row>
    <row r="60" spans="1:2" ht="21" x14ac:dyDescent="0.5">
      <c r="A60" s="631" t="s">
        <v>503</v>
      </c>
      <c r="B60" s="682">
        <v>73202.629999999976</v>
      </c>
    </row>
    <row r="61" spans="1:2" ht="21" x14ac:dyDescent="0.5">
      <c r="A61" s="631" t="s">
        <v>511</v>
      </c>
      <c r="B61" s="682">
        <v>316908.69</v>
      </c>
    </row>
    <row r="62" spans="1:2" ht="21" x14ac:dyDescent="0.5">
      <c r="A62" s="631" t="s">
        <v>157</v>
      </c>
      <c r="B62" s="682">
        <v>0</v>
      </c>
    </row>
    <row r="63" spans="1:2" ht="21" x14ac:dyDescent="0.5">
      <c r="A63" s="633" t="s">
        <v>686</v>
      </c>
      <c r="B63" s="682">
        <v>306712.05</v>
      </c>
    </row>
    <row r="64" spans="1:2" ht="21" x14ac:dyDescent="0.5">
      <c r="A64" s="633" t="s">
        <v>505</v>
      </c>
      <c r="B64" s="682">
        <v>8345.2899999999991</v>
      </c>
    </row>
    <row r="65" spans="1:2" ht="21" x14ac:dyDescent="0.5">
      <c r="A65" s="632" t="s">
        <v>687</v>
      </c>
      <c r="B65" s="682">
        <v>0</v>
      </c>
    </row>
    <row r="66" spans="1:2" ht="21" x14ac:dyDescent="0.5">
      <c r="A66" s="631" t="s">
        <v>480</v>
      </c>
      <c r="B66" s="682">
        <v>73323.009999999995</v>
      </c>
    </row>
    <row r="67" spans="1:2" ht="21" x14ac:dyDescent="0.5">
      <c r="A67" s="631" t="s">
        <v>688</v>
      </c>
      <c r="B67" s="682">
        <v>23503.47</v>
      </c>
    </row>
    <row r="68" spans="1:2" ht="21" x14ac:dyDescent="0.5">
      <c r="A68" s="631" t="s">
        <v>504</v>
      </c>
      <c r="B68" s="682">
        <v>70508.390000000014</v>
      </c>
    </row>
    <row r="69" spans="1:2" ht="21" x14ac:dyDescent="0.5">
      <c r="A69" s="631" t="s">
        <v>689</v>
      </c>
      <c r="B69" s="682">
        <v>41772.270000000004</v>
      </c>
    </row>
    <row r="70" spans="1:2" ht="21" x14ac:dyDescent="0.5">
      <c r="A70" s="631" t="s">
        <v>690</v>
      </c>
      <c r="B70" s="682">
        <v>0</v>
      </c>
    </row>
    <row r="71" spans="1:2" ht="21" x14ac:dyDescent="0.5">
      <c r="A71" s="632" t="s">
        <v>691</v>
      </c>
      <c r="B71" s="682">
        <v>17873.900000000001</v>
      </c>
    </row>
    <row r="72" spans="1:2" ht="21" x14ac:dyDescent="0.5">
      <c r="A72" s="633" t="s">
        <v>692</v>
      </c>
      <c r="B72" s="682">
        <v>16268.82</v>
      </c>
    </row>
    <row r="73" spans="1:2" ht="21" x14ac:dyDescent="0.5">
      <c r="A73" s="631" t="s">
        <v>502</v>
      </c>
      <c r="B73" s="682">
        <v>8773.1399999999958</v>
      </c>
    </row>
    <row r="74" spans="1:2" ht="21" x14ac:dyDescent="0.5">
      <c r="A74" s="633" t="s">
        <v>693</v>
      </c>
      <c r="B74" s="682">
        <v>32572.510000000002</v>
      </c>
    </row>
    <row r="75" spans="1:2" ht="21" x14ac:dyDescent="0.5">
      <c r="A75" s="631" t="s">
        <v>133</v>
      </c>
      <c r="B75" s="682">
        <v>0</v>
      </c>
    </row>
    <row r="76" spans="1:2" ht="21" x14ac:dyDescent="0.5">
      <c r="A76" s="631" t="s">
        <v>525</v>
      </c>
      <c r="B76" s="682">
        <v>64989.42</v>
      </c>
    </row>
    <row r="77" spans="1:2" ht="21" x14ac:dyDescent="0.5">
      <c r="A77" s="631" t="s">
        <v>136</v>
      </c>
      <c r="B77" s="682">
        <v>0</v>
      </c>
    </row>
    <row r="78" spans="1:2" ht="21" x14ac:dyDescent="0.5">
      <c r="A78" s="631" t="s">
        <v>273</v>
      </c>
      <c r="B78" s="682">
        <v>-2184.6839999999829</v>
      </c>
    </row>
    <row r="79" spans="1:2" ht="21" x14ac:dyDescent="0.5">
      <c r="A79" s="631" t="s">
        <v>128</v>
      </c>
      <c r="B79" s="682">
        <v>834.78</v>
      </c>
    </row>
    <row r="80" spans="1:2" ht="21" x14ac:dyDescent="0.5">
      <c r="A80" s="631" t="s">
        <v>508</v>
      </c>
      <c r="B80" s="682">
        <v>731.7</v>
      </c>
    </row>
    <row r="81" spans="1:2" ht="21" x14ac:dyDescent="0.5">
      <c r="A81" s="631" t="s">
        <v>509</v>
      </c>
      <c r="B81" s="682">
        <v>416348.5</v>
      </c>
    </row>
    <row r="82" spans="1:2" ht="21" x14ac:dyDescent="0.5">
      <c r="A82" s="631" t="s">
        <v>694</v>
      </c>
      <c r="B82" s="682">
        <v>0</v>
      </c>
    </row>
    <row r="83" spans="1:2" ht="21" x14ac:dyDescent="0.5">
      <c r="A83" s="631" t="s">
        <v>459</v>
      </c>
      <c r="B83" s="682">
        <v>94994.15</v>
      </c>
    </row>
    <row r="84" spans="1:2" ht="21" x14ac:dyDescent="0.5">
      <c r="A84" s="631" t="s">
        <v>695</v>
      </c>
      <c r="B84" s="682">
        <v>8626.7799999999988</v>
      </c>
    </row>
    <row r="85" spans="1:2" ht="21" x14ac:dyDescent="0.5">
      <c r="A85" s="631" t="s">
        <v>696</v>
      </c>
      <c r="B85" s="682">
        <v>2512194.75</v>
      </c>
    </row>
    <row r="86" spans="1:2" ht="21" x14ac:dyDescent="0.5">
      <c r="A86" s="631" t="s">
        <v>697</v>
      </c>
      <c r="B86" s="682">
        <v>18446.39</v>
      </c>
    </row>
    <row r="87" spans="1:2" ht="21" x14ac:dyDescent="0.5">
      <c r="A87" s="631" t="s">
        <v>698</v>
      </c>
      <c r="B87" s="682">
        <v>0</v>
      </c>
    </row>
    <row r="88" spans="1:2" ht="21" x14ac:dyDescent="0.5">
      <c r="A88" s="631" t="s">
        <v>699</v>
      </c>
      <c r="B88" s="682">
        <v>-36.199999999953434</v>
      </c>
    </row>
    <row r="89" spans="1:2" ht="21" x14ac:dyDescent="0.5">
      <c r="A89" s="631" t="s">
        <v>289</v>
      </c>
      <c r="B89" s="682">
        <v>-501.41</v>
      </c>
    </row>
    <row r="90" spans="1:2" ht="21" x14ac:dyDescent="0.5">
      <c r="A90" s="631" t="s">
        <v>283</v>
      </c>
      <c r="B90" s="682">
        <v>-2348.9</v>
      </c>
    </row>
    <row r="91" spans="1:2" ht="21" x14ac:dyDescent="0.5">
      <c r="A91" s="631" t="s">
        <v>700</v>
      </c>
      <c r="B91" s="682">
        <v>-2858.9200000000346</v>
      </c>
    </row>
    <row r="92" spans="1:2" ht="21" x14ac:dyDescent="0.5">
      <c r="A92" s="631" t="s">
        <v>281</v>
      </c>
      <c r="B92" s="682">
        <v>-4655.5600000000004</v>
      </c>
    </row>
    <row r="93" spans="1:2" ht="21" x14ac:dyDescent="0.5">
      <c r="A93" s="631" t="s">
        <v>244</v>
      </c>
      <c r="B93" s="682">
        <v>-4925.8500000000004</v>
      </c>
    </row>
    <row r="94" spans="1:2" ht="21" x14ac:dyDescent="0.5">
      <c r="A94" s="631" t="s">
        <v>253</v>
      </c>
      <c r="B94" s="682">
        <v>-5959.03</v>
      </c>
    </row>
    <row r="95" spans="1:2" ht="21" x14ac:dyDescent="0.5">
      <c r="A95" s="631" t="s">
        <v>291</v>
      </c>
      <c r="B95" s="682">
        <v>-6676.28</v>
      </c>
    </row>
    <row r="96" spans="1:2" ht="21" x14ac:dyDescent="0.5">
      <c r="A96" s="631" t="s">
        <v>102</v>
      </c>
      <c r="B96" s="682">
        <v>-21803.759999999998</v>
      </c>
    </row>
    <row r="97" spans="1:2" ht="21" x14ac:dyDescent="0.5">
      <c r="A97" s="631" t="s">
        <v>122</v>
      </c>
      <c r="B97" s="682">
        <v>-29297.360000000001</v>
      </c>
    </row>
    <row r="98" spans="1:2" ht="21" x14ac:dyDescent="0.5">
      <c r="A98" s="634" t="s">
        <v>132</v>
      </c>
      <c r="B98" s="682">
        <v>-35689.800000000003</v>
      </c>
    </row>
    <row r="99" spans="1:2" ht="21" x14ac:dyDescent="0.5">
      <c r="A99" s="634" t="s">
        <v>107</v>
      </c>
      <c r="B99" s="682">
        <v>-39944.120000000003</v>
      </c>
    </row>
    <row r="100" spans="1:2" ht="21" x14ac:dyDescent="0.5">
      <c r="A100" s="634" t="s">
        <v>221</v>
      </c>
      <c r="B100" s="682">
        <v>-113497.32</v>
      </c>
    </row>
    <row r="101" spans="1:2" ht="21" x14ac:dyDescent="0.5">
      <c r="A101" s="634" t="s">
        <v>249</v>
      </c>
      <c r="B101" s="682">
        <v>-115236.29</v>
      </c>
    </row>
    <row r="102" spans="1:2" ht="21" x14ac:dyDescent="0.5">
      <c r="A102" s="634" t="s">
        <v>701</v>
      </c>
      <c r="B102" s="682">
        <v>-135954.03</v>
      </c>
    </row>
    <row r="103" spans="1:2" ht="21" x14ac:dyDescent="0.5">
      <c r="A103" s="634" t="s">
        <v>702</v>
      </c>
      <c r="B103" s="682">
        <v>-207956.99</v>
      </c>
    </row>
    <row r="104" spans="1:2" ht="21" x14ac:dyDescent="0.5">
      <c r="A104" s="635" t="s">
        <v>245</v>
      </c>
      <c r="B104" s="682">
        <v>-221089.2</v>
      </c>
    </row>
    <row r="105" spans="1:2" ht="21" x14ac:dyDescent="0.5">
      <c r="A105" s="634" t="s">
        <v>282</v>
      </c>
      <c r="B105" s="682">
        <v>-265954.98</v>
      </c>
    </row>
    <row r="106" spans="1:2" ht="21" x14ac:dyDescent="0.5">
      <c r="A106" s="634" t="s">
        <v>703</v>
      </c>
      <c r="B106" s="682">
        <v>-1120862.76</v>
      </c>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1A72A-1515-4E80-BF2E-B80253AF0EF8}">
  <dimension ref="A1:E347"/>
  <sheetViews>
    <sheetView topLeftCell="A286" workbookViewId="0">
      <selection activeCell="D209" sqref="D209"/>
    </sheetView>
  </sheetViews>
  <sheetFormatPr defaultRowHeight="14.5" x14ac:dyDescent="0.35"/>
  <cols>
    <col min="1" max="1" width="40.90625" customWidth="1"/>
    <col min="2" max="2" width="17.36328125" customWidth="1"/>
    <col min="4" max="4" width="20.54296875" customWidth="1"/>
  </cols>
  <sheetData>
    <row r="1" spans="1:4" x14ac:dyDescent="0.35">
      <c r="A1" s="851" t="s">
        <v>1</v>
      </c>
      <c r="B1" s="851" t="s">
        <v>704</v>
      </c>
      <c r="C1" s="851" t="s">
        <v>705</v>
      </c>
      <c r="D1" s="852" t="s">
        <v>588</v>
      </c>
    </row>
    <row r="2" spans="1:4" x14ac:dyDescent="0.35">
      <c r="A2" s="642" t="s">
        <v>706</v>
      </c>
      <c r="B2" s="854">
        <v>44530</v>
      </c>
      <c r="C2" s="642" t="s">
        <v>707</v>
      </c>
      <c r="D2" s="738">
        <v>8553</v>
      </c>
    </row>
    <row r="3" spans="1:4" x14ac:dyDescent="0.35">
      <c r="A3" s="642" t="s">
        <v>769</v>
      </c>
      <c r="B3" s="854"/>
      <c r="C3" s="642"/>
      <c r="D3" s="738">
        <f>SUM(D2)</f>
        <v>8553</v>
      </c>
    </row>
    <row r="4" spans="1:4" x14ac:dyDescent="0.35">
      <c r="A4" s="682"/>
      <c r="B4" s="853"/>
      <c r="C4" s="682"/>
      <c r="D4" s="675"/>
    </row>
    <row r="5" spans="1:4" x14ac:dyDescent="0.35">
      <c r="A5" s="642" t="s">
        <v>708</v>
      </c>
      <c r="B5" s="854">
        <v>44530</v>
      </c>
      <c r="C5" s="642" t="s">
        <v>719</v>
      </c>
      <c r="D5" s="738">
        <v>259135.18</v>
      </c>
    </row>
    <row r="6" spans="1:4" x14ac:dyDescent="0.35">
      <c r="A6" s="642" t="s">
        <v>769</v>
      </c>
      <c r="B6" s="854"/>
      <c r="C6" s="642"/>
      <c r="D6" s="738">
        <f>SUM(D5)</f>
        <v>259135.18</v>
      </c>
    </row>
    <row r="7" spans="1:4" x14ac:dyDescent="0.35">
      <c r="A7" s="682"/>
      <c r="B7" s="853"/>
      <c r="C7" s="682"/>
      <c r="D7" s="675"/>
    </row>
    <row r="8" spans="1:4" x14ac:dyDescent="0.35">
      <c r="A8" s="642" t="s">
        <v>711</v>
      </c>
      <c r="B8" s="854">
        <v>44530</v>
      </c>
      <c r="C8" s="642" t="s">
        <v>713</v>
      </c>
      <c r="D8" s="738">
        <v>50393.5</v>
      </c>
    </row>
    <row r="9" spans="1:4" x14ac:dyDescent="0.35">
      <c r="A9" s="642" t="s">
        <v>711</v>
      </c>
      <c r="B9" s="854">
        <v>44530</v>
      </c>
      <c r="C9" s="642" t="s">
        <v>709</v>
      </c>
      <c r="D9" s="738">
        <v>52033.24</v>
      </c>
    </row>
    <row r="10" spans="1:4" x14ac:dyDescent="0.35">
      <c r="A10" s="642" t="s">
        <v>711</v>
      </c>
      <c r="B10" s="854">
        <v>44530</v>
      </c>
      <c r="C10" s="642" t="s">
        <v>714</v>
      </c>
      <c r="D10" s="738">
        <v>2010200.8</v>
      </c>
    </row>
    <row r="11" spans="1:4" x14ac:dyDescent="0.35">
      <c r="A11" s="642" t="s">
        <v>711</v>
      </c>
      <c r="B11" s="854">
        <v>44530</v>
      </c>
      <c r="C11" s="642" t="s">
        <v>712</v>
      </c>
      <c r="D11" s="738">
        <v>6953.5</v>
      </c>
    </row>
    <row r="12" spans="1:4" x14ac:dyDescent="0.35">
      <c r="A12" s="642" t="s">
        <v>711</v>
      </c>
      <c r="B12" s="854">
        <v>44530</v>
      </c>
      <c r="C12" s="642" t="s">
        <v>707</v>
      </c>
      <c r="D12" s="738">
        <v>5567494</v>
      </c>
    </row>
    <row r="13" spans="1:4" x14ac:dyDescent="0.35">
      <c r="A13" s="642" t="s">
        <v>769</v>
      </c>
      <c r="B13" s="854"/>
      <c r="C13" s="642"/>
      <c r="D13" s="738">
        <f>SUM(D8:D12)</f>
        <v>7687075.04</v>
      </c>
    </row>
    <row r="14" spans="1:4" x14ac:dyDescent="0.35">
      <c r="A14" s="682"/>
      <c r="B14" s="853"/>
      <c r="C14" s="682"/>
      <c r="D14" s="675"/>
    </row>
    <row r="15" spans="1:4" x14ac:dyDescent="0.35">
      <c r="A15" s="642" t="s">
        <v>715</v>
      </c>
      <c r="B15" s="854">
        <v>44530</v>
      </c>
      <c r="C15" s="642" t="s">
        <v>707</v>
      </c>
      <c r="D15" s="738">
        <v>556937</v>
      </c>
    </row>
    <row r="16" spans="1:4" x14ac:dyDescent="0.35">
      <c r="A16" s="642" t="s">
        <v>715</v>
      </c>
      <c r="B16" s="854">
        <v>44530</v>
      </c>
      <c r="C16" s="642" t="s">
        <v>714</v>
      </c>
      <c r="D16" s="738">
        <v>219782.8</v>
      </c>
    </row>
    <row r="17" spans="1:4" x14ac:dyDescent="0.35">
      <c r="A17" s="642" t="s">
        <v>715</v>
      </c>
      <c r="B17" s="854">
        <v>44530</v>
      </c>
      <c r="C17" s="642" t="s">
        <v>712</v>
      </c>
      <c r="D17" s="738">
        <v>775</v>
      </c>
    </row>
    <row r="18" spans="1:4" x14ac:dyDescent="0.35">
      <c r="A18" s="642" t="s">
        <v>715</v>
      </c>
      <c r="B18" s="854">
        <v>44530</v>
      </c>
      <c r="C18" s="642" t="s">
        <v>709</v>
      </c>
      <c r="D18" s="738">
        <v>290640.73</v>
      </c>
    </row>
    <row r="19" spans="1:4" x14ac:dyDescent="0.35">
      <c r="A19" s="642" t="s">
        <v>715</v>
      </c>
      <c r="B19" s="854">
        <v>44530</v>
      </c>
      <c r="C19" s="642" t="s">
        <v>713</v>
      </c>
      <c r="D19" s="738">
        <v>2187</v>
      </c>
    </row>
    <row r="20" spans="1:4" x14ac:dyDescent="0.35">
      <c r="A20" s="642" t="s">
        <v>769</v>
      </c>
      <c r="B20" s="854"/>
      <c r="C20" s="642"/>
      <c r="D20" s="738">
        <f>SUM(D15:D19)</f>
        <v>1070322.53</v>
      </c>
    </row>
    <row r="21" spans="1:4" x14ac:dyDescent="0.35">
      <c r="A21" s="642"/>
      <c r="B21" s="854"/>
      <c r="C21" s="642"/>
      <c r="D21" s="738"/>
    </row>
    <row r="22" spans="1:4" x14ac:dyDescent="0.35">
      <c r="A22" s="642" t="s">
        <v>716</v>
      </c>
      <c r="B22" s="854">
        <v>44530</v>
      </c>
      <c r="C22" s="642" t="s">
        <v>707</v>
      </c>
      <c r="D22" s="738">
        <v>517214</v>
      </c>
    </row>
    <row r="23" spans="1:4" x14ac:dyDescent="0.35">
      <c r="A23" s="642" t="s">
        <v>716</v>
      </c>
      <c r="B23" s="854">
        <v>44530</v>
      </c>
      <c r="C23" s="642" t="s">
        <v>714</v>
      </c>
      <c r="D23" s="738">
        <v>182340.1</v>
      </c>
    </row>
    <row r="24" spans="1:4" x14ac:dyDescent="0.35">
      <c r="A24" s="642" t="s">
        <v>716</v>
      </c>
      <c r="B24" s="854">
        <v>44530</v>
      </c>
      <c r="C24" s="642" t="s">
        <v>709</v>
      </c>
      <c r="D24" s="738">
        <v>37789.26</v>
      </c>
    </row>
    <row r="25" spans="1:4" x14ac:dyDescent="0.35">
      <c r="A25" s="642" t="s">
        <v>716</v>
      </c>
      <c r="B25" s="854">
        <v>44530</v>
      </c>
      <c r="C25" s="642" t="s">
        <v>712</v>
      </c>
      <c r="D25" s="738">
        <v>80</v>
      </c>
    </row>
    <row r="26" spans="1:4" x14ac:dyDescent="0.35">
      <c r="A26" s="642" t="s">
        <v>716</v>
      </c>
      <c r="B26" s="854">
        <v>44530</v>
      </c>
      <c r="C26" s="642" t="s">
        <v>713</v>
      </c>
      <c r="D26" s="738">
        <v>2531.5</v>
      </c>
    </row>
    <row r="27" spans="1:4" x14ac:dyDescent="0.35">
      <c r="A27" s="642" t="s">
        <v>769</v>
      </c>
      <c r="B27" s="854"/>
      <c r="C27" s="642"/>
      <c r="D27" s="738">
        <f>SUM(D22:D26)</f>
        <v>739954.86</v>
      </c>
    </row>
    <row r="28" spans="1:4" x14ac:dyDescent="0.35">
      <c r="A28" s="682"/>
      <c r="B28" s="853"/>
      <c r="C28" s="682"/>
      <c r="D28" s="675"/>
    </row>
    <row r="29" spans="1:4" x14ac:dyDescent="0.35">
      <c r="A29" s="642" t="s">
        <v>717</v>
      </c>
      <c r="B29" s="854">
        <v>44530</v>
      </c>
      <c r="C29" s="642" t="s">
        <v>714</v>
      </c>
      <c r="D29" s="738">
        <v>1553623.1</v>
      </c>
    </row>
    <row r="30" spans="1:4" x14ac:dyDescent="0.35">
      <c r="A30" s="642" t="s">
        <v>717</v>
      </c>
      <c r="B30" s="854">
        <v>44530</v>
      </c>
      <c r="C30" s="642" t="s">
        <v>712</v>
      </c>
      <c r="D30" s="738">
        <v>1533.6</v>
      </c>
    </row>
    <row r="31" spans="1:4" x14ac:dyDescent="0.35">
      <c r="A31" s="642" t="s">
        <v>717</v>
      </c>
      <c r="B31" s="854">
        <v>44530</v>
      </c>
      <c r="C31" s="642" t="s">
        <v>709</v>
      </c>
      <c r="D31" s="738">
        <v>366202.1</v>
      </c>
    </row>
    <row r="32" spans="1:4" x14ac:dyDescent="0.35">
      <c r="A32" s="642" t="s">
        <v>717</v>
      </c>
      <c r="B32" s="854">
        <v>44530</v>
      </c>
      <c r="C32" s="642" t="s">
        <v>722</v>
      </c>
      <c r="D32" s="738">
        <v>-2211.88</v>
      </c>
    </row>
    <row r="33" spans="1:4" x14ac:dyDescent="0.35">
      <c r="A33" s="642" t="s">
        <v>717</v>
      </c>
      <c r="B33" s="854">
        <v>44530</v>
      </c>
      <c r="C33" s="642" t="s">
        <v>707</v>
      </c>
      <c r="D33" s="738">
        <v>5505175</v>
      </c>
    </row>
    <row r="34" spans="1:4" x14ac:dyDescent="0.35">
      <c r="A34" s="642" t="s">
        <v>717</v>
      </c>
      <c r="B34" s="854">
        <v>44530</v>
      </c>
      <c r="C34" s="642" t="s">
        <v>713</v>
      </c>
      <c r="D34" s="738">
        <v>42251.5</v>
      </c>
    </row>
    <row r="35" spans="1:4" x14ac:dyDescent="0.35">
      <c r="A35" s="642" t="s">
        <v>769</v>
      </c>
      <c r="B35" s="854"/>
      <c r="C35" s="642"/>
      <c r="D35" s="738">
        <f>SUM(D29:D34)</f>
        <v>7466573.4199999999</v>
      </c>
    </row>
    <row r="36" spans="1:4" x14ac:dyDescent="0.35">
      <c r="A36" s="682"/>
      <c r="B36" s="853"/>
      <c r="C36" s="682"/>
      <c r="D36" s="675"/>
    </row>
    <row r="37" spans="1:4" x14ac:dyDescent="0.35">
      <c r="A37" s="642" t="s">
        <v>720</v>
      </c>
      <c r="B37" s="854">
        <v>44530</v>
      </c>
      <c r="C37" s="642" t="s">
        <v>709</v>
      </c>
      <c r="D37" s="738">
        <v>222915.17</v>
      </c>
    </row>
    <row r="38" spans="1:4" x14ac:dyDescent="0.35">
      <c r="A38" s="642" t="s">
        <v>720</v>
      </c>
      <c r="B38" s="854">
        <v>44530</v>
      </c>
      <c r="C38" s="642" t="s">
        <v>713</v>
      </c>
      <c r="D38" s="738">
        <v>4906.5</v>
      </c>
    </row>
    <row r="39" spans="1:4" x14ac:dyDescent="0.35">
      <c r="A39" s="642" t="s">
        <v>720</v>
      </c>
      <c r="B39" s="854">
        <v>44530</v>
      </c>
      <c r="C39" s="642" t="s">
        <v>714</v>
      </c>
      <c r="D39" s="738">
        <v>93975.8</v>
      </c>
    </row>
    <row r="40" spans="1:4" x14ac:dyDescent="0.35">
      <c r="A40" s="642" t="s">
        <v>720</v>
      </c>
      <c r="B40" s="854">
        <v>44530</v>
      </c>
      <c r="C40" s="642" t="s">
        <v>712</v>
      </c>
      <c r="D40" s="738">
        <v>104</v>
      </c>
    </row>
    <row r="41" spans="1:4" x14ac:dyDescent="0.35">
      <c r="A41" s="642" t="s">
        <v>720</v>
      </c>
      <c r="B41" s="854">
        <v>44530</v>
      </c>
      <c r="C41" s="642" t="s">
        <v>707</v>
      </c>
      <c r="D41" s="738">
        <v>169945</v>
      </c>
    </row>
    <row r="42" spans="1:4" x14ac:dyDescent="0.35">
      <c r="A42" s="642" t="s">
        <v>769</v>
      </c>
      <c r="B42" s="854"/>
      <c r="C42" s="642"/>
      <c r="D42" s="738">
        <f>SUM(D37:D41)</f>
        <v>491846.47000000003</v>
      </c>
    </row>
    <row r="43" spans="1:4" x14ac:dyDescent="0.35">
      <c r="A43" s="682"/>
      <c r="B43" s="853"/>
      <c r="C43" s="682"/>
      <c r="D43" s="675"/>
    </row>
    <row r="44" spans="1:4" x14ac:dyDescent="0.35">
      <c r="A44" s="682" t="s">
        <v>721</v>
      </c>
      <c r="B44" s="853">
        <v>44530</v>
      </c>
      <c r="C44" s="682" t="s">
        <v>724</v>
      </c>
      <c r="D44" s="675">
        <v>0</v>
      </c>
    </row>
    <row r="45" spans="1:4" x14ac:dyDescent="0.35">
      <c r="A45" s="682" t="s">
        <v>721</v>
      </c>
      <c r="B45" s="853">
        <v>44530</v>
      </c>
      <c r="C45" s="682" t="s">
        <v>712</v>
      </c>
      <c r="D45" s="675">
        <v>1287.3</v>
      </c>
    </row>
    <row r="46" spans="1:4" x14ac:dyDescent="0.35">
      <c r="A46" s="682" t="s">
        <v>721</v>
      </c>
      <c r="B46" s="853">
        <v>44530</v>
      </c>
      <c r="C46" s="682" t="s">
        <v>707</v>
      </c>
      <c r="D46" s="675">
        <v>0</v>
      </c>
    </row>
    <row r="47" spans="1:4" x14ac:dyDescent="0.35">
      <c r="A47" s="682" t="s">
        <v>721</v>
      </c>
      <c r="B47" s="853">
        <v>44530</v>
      </c>
      <c r="C47" s="682" t="s">
        <v>718</v>
      </c>
      <c r="D47" s="675">
        <v>0</v>
      </c>
    </row>
    <row r="48" spans="1:4" x14ac:dyDescent="0.35">
      <c r="A48" s="682" t="s">
        <v>721</v>
      </c>
      <c r="B48" s="853">
        <v>44530</v>
      </c>
      <c r="C48" s="682" t="s">
        <v>714</v>
      </c>
      <c r="D48" s="675">
        <v>336982.5</v>
      </c>
    </row>
    <row r="49" spans="1:4" x14ac:dyDescent="0.35">
      <c r="A49" s="682" t="s">
        <v>721</v>
      </c>
      <c r="B49" s="853">
        <v>44530</v>
      </c>
      <c r="C49" s="682" t="s">
        <v>713</v>
      </c>
      <c r="D49" s="675">
        <v>6347</v>
      </c>
    </row>
    <row r="50" spans="1:4" x14ac:dyDescent="0.35">
      <c r="A50" s="682" t="s">
        <v>721</v>
      </c>
      <c r="B50" s="853">
        <v>44530</v>
      </c>
      <c r="C50" s="682" t="s">
        <v>709</v>
      </c>
      <c r="D50" s="675">
        <v>0</v>
      </c>
    </row>
    <row r="51" spans="1:4" x14ac:dyDescent="0.35">
      <c r="A51" s="682" t="s">
        <v>769</v>
      </c>
      <c r="B51" s="853"/>
      <c r="C51" s="682"/>
      <c r="D51" s="675">
        <f>SUM(D44:D50)</f>
        <v>344616.8</v>
      </c>
    </row>
    <row r="52" spans="1:4" x14ac:dyDescent="0.35">
      <c r="A52" s="682"/>
      <c r="B52" s="853"/>
      <c r="C52" s="682"/>
      <c r="D52" s="675"/>
    </row>
    <row r="53" spans="1:4" x14ac:dyDescent="0.35">
      <c r="A53" s="642" t="s">
        <v>723</v>
      </c>
      <c r="B53" s="854">
        <v>44530</v>
      </c>
      <c r="C53" s="642" t="s">
        <v>712</v>
      </c>
      <c r="D53" s="738">
        <v>6038.1</v>
      </c>
    </row>
    <row r="54" spans="1:4" x14ac:dyDescent="0.35">
      <c r="A54" s="642" t="s">
        <v>723</v>
      </c>
      <c r="B54" s="854">
        <v>44530</v>
      </c>
      <c r="C54" s="642" t="s">
        <v>707</v>
      </c>
      <c r="D54" s="738">
        <v>12807309.84</v>
      </c>
    </row>
    <row r="55" spans="1:4" x14ac:dyDescent="0.35">
      <c r="A55" s="642" t="s">
        <v>723</v>
      </c>
      <c r="B55" s="854">
        <v>44530</v>
      </c>
      <c r="C55" s="642" t="s">
        <v>714</v>
      </c>
      <c r="D55" s="738">
        <v>4370244.5999999996</v>
      </c>
    </row>
    <row r="56" spans="1:4" x14ac:dyDescent="0.35">
      <c r="A56" s="642" t="s">
        <v>723</v>
      </c>
      <c r="B56" s="854">
        <v>44530</v>
      </c>
      <c r="C56" s="642" t="s">
        <v>724</v>
      </c>
      <c r="D56" s="738">
        <v>41839.53</v>
      </c>
    </row>
    <row r="57" spans="1:4" x14ac:dyDescent="0.35">
      <c r="A57" s="642" t="s">
        <v>723</v>
      </c>
      <c r="B57" s="854">
        <v>44530</v>
      </c>
      <c r="C57" s="642" t="s">
        <v>722</v>
      </c>
      <c r="D57" s="738">
        <v>-31840</v>
      </c>
    </row>
    <row r="58" spans="1:4" x14ac:dyDescent="0.35">
      <c r="A58" s="642" t="s">
        <v>723</v>
      </c>
      <c r="B58" s="854">
        <v>44530</v>
      </c>
      <c r="C58" s="642" t="s">
        <v>709</v>
      </c>
      <c r="D58" s="738">
        <v>1584653.22</v>
      </c>
    </row>
    <row r="59" spans="1:4" x14ac:dyDescent="0.35">
      <c r="A59" s="642" t="s">
        <v>723</v>
      </c>
      <c r="B59" s="854">
        <v>44530</v>
      </c>
      <c r="C59" s="642" t="s">
        <v>719</v>
      </c>
      <c r="D59" s="738">
        <v>6627.7</v>
      </c>
    </row>
    <row r="60" spans="1:4" x14ac:dyDescent="0.35">
      <c r="A60" s="642" t="s">
        <v>723</v>
      </c>
      <c r="B60" s="854">
        <v>44530</v>
      </c>
      <c r="C60" s="642" t="s">
        <v>713</v>
      </c>
      <c r="D60" s="738">
        <v>59561</v>
      </c>
    </row>
    <row r="61" spans="1:4" x14ac:dyDescent="0.35">
      <c r="A61" s="642" t="s">
        <v>769</v>
      </c>
      <c r="B61" s="854"/>
      <c r="C61" s="642"/>
      <c r="D61" s="738">
        <f>SUM(D53:D60)</f>
        <v>18844433.989999998</v>
      </c>
    </row>
    <row r="62" spans="1:4" x14ac:dyDescent="0.35">
      <c r="A62" s="682"/>
      <c r="B62" s="853"/>
      <c r="C62" s="682"/>
      <c r="D62" s="675"/>
    </row>
    <row r="63" spans="1:4" x14ac:dyDescent="0.35">
      <c r="A63" s="642" t="s">
        <v>725</v>
      </c>
      <c r="B63" s="854">
        <v>44530</v>
      </c>
      <c r="C63" s="642" t="s">
        <v>714</v>
      </c>
      <c r="D63" s="738">
        <v>403438.4</v>
      </c>
    </row>
    <row r="64" spans="1:4" x14ac:dyDescent="0.35">
      <c r="A64" s="642" t="s">
        <v>725</v>
      </c>
      <c r="B64" s="854">
        <v>44530</v>
      </c>
      <c r="C64" s="642" t="s">
        <v>713</v>
      </c>
      <c r="D64" s="738">
        <v>6083.5</v>
      </c>
    </row>
    <row r="65" spans="1:4" x14ac:dyDescent="0.35">
      <c r="A65" s="642" t="s">
        <v>725</v>
      </c>
      <c r="B65" s="854">
        <v>44530</v>
      </c>
      <c r="C65" s="642" t="s">
        <v>709</v>
      </c>
      <c r="D65" s="738">
        <v>1158571.06</v>
      </c>
    </row>
    <row r="66" spans="1:4" x14ac:dyDescent="0.35">
      <c r="A66" s="642" t="s">
        <v>725</v>
      </c>
      <c r="B66" s="854">
        <v>44530</v>
      </c>
      <c r="C66" s="642" t="s">
        <v>707</v>
      </c>
      <c r="D66" s="738">
        <v>85020</v>
      </c>
    </row>
    <row r="67" spans="1:4" x14ac:dyDescent="0.35">
      <c r="A67" s="642" t="s">
        <v>725</v>
      </c>
      <c r="B67" s="854">
        <v>44530</v>
      </c>
      <c r="C67" s="642" t="s">
        <v>712</v>
      </c>
      <c r="D67" s="738">
        <v>1171.9000000000001</v>
      </c>
    </row>
    <row r="68" spans="1:4" x14ac:dyDescent="0.35">
      <c r="A68" s="642" t="s">
        <v>769</v>
      </c>
      <c r="B68" s="854"/>
      <c r="C68" s="642"/>
      <c r="D68" s="738">
        <f>SUM(D63:D67)</f>
        <v>1654284.8599999999</v>
      </c>
    </row>
    <row r="69" spans="1:4" x14ac:dyDescent="0.35">
      <c r="A69" s="682"/>
      <c r="B69" s="853"/>
      <c r="C69" s="682"/>
      <c r="D69" s="675"/>
    </row>
    <row r="70" spans="1:4" x14ac:dyDescent="0.35">
      <c r="A70" s="682"/>
      <c r="B70" s="853"/>
      <c r="C70" s="682"/>
      <c r="D70" s="675"/>
    </row>
    <row r="71" spans="1:4" x14ac:dyDescent="0.35">
      <c r="A71" s="642" t="s">
        <v>726</v>
      </c>
      <c r="B71" s="854">
        <v>44530</v>
      </c>
      <c r="C71" s="642" t="s">
        <v>714</v>
      </c>
      <c r="D71" s="738">
        <v>836548</v>
      </c>
    </row>
    <row r="72" spans="1:4" x14ac:dyDescent="0.35">
      <c r="A72" s="642" t="s">
        <v>726</v>
      </c>
      <c r="B72" s="854">
        <v>44530</v>
      </c>
      <c r="C72" s="642" t="s">
        <v>712</v>
      </c>
      <c r="D72" s="738">
        <v>2212.8000000000002</v>
      </c>
    </row>
    <row r="73" spans="1:4" x14ac:dyDescent="0.35">
      <c r="A73" s="642" t="s">
        <v>726</v>
      </c>
      <c r="B73" s="854">
        <v>44530</v>
      </c>
      <c r="C73" s="642" t="s">
        <v>709</v>
      </c>
      <c r="D73" s="738">
        <v>775763.66</v>
      </c>
    </row>
    <row r="74" spans="1:4" x14ac:dyDescent="0.35">
      <c r="A74" s="642" t="s">
        <v>726</v>
      </c>
      <c r="B74" s="854">
        <v>44530</v>
      </c>
      <c r="C74" s="642" t="s">
        <v>710</v>
      </c>
      <c r="D74" s="738">
        <v>169419.72</v>
      </c>
    </row>
    <row r="75" spans="1:4" x14ac:dyDescent="0.35">
      <c r="A75" s="642" t="s">
        <v>726</v>
      </c>
      <c r="B75" s="854">
        <v>44530</v>
      </c>
      <c r="C75" s="642" t="s">
        <v>707</v>
      </c>
      <c r="D75" s="738">
        <v>1670503</v>
      </c>
    </row>
    <row r="76" spans="1:4" x14ac:dyDescent="0.35">
      <c r="A76" s="642" t="s">
        <v>726</v>
      </c>
      <c r="B76" s="854">
        <v>44530</v>
      </c>
      <c r="C76" s="642" t="s">
        <v>713</v>
      </c>
      <c r="D76" s="738">
        <v>19947</v>
      </c>
    </row>
    <row r="77" spans="1:4" x14ac:dyDescent="0.35">
      <c r="A77" s="642" t="s">
        <v>726</v>
      </c>
      <c r="B77" s="854">
        <v>44530</v>
      </c>
      <c r="C77" s="642" t="s">
        <v>719</v>
      </c>
      <c r="D77" s="738">
        <v>16759.3</v>
      </c>
    </row>
    <row r="78" spans="1:4" x14ac:dyDescent="0.35">
      <c r="A78" s="642" t="s">
        <v>769</v>
      </c>
      <c r="B78" s="854"/>
      <c r="C78" s="642"/>
      <c r="D78" s="738">
        <f>SUM(D71:D77)</f>
        <v>3491153.4799999995</v>
      </c>
    </row>
    <row r="79" spans="1:4" x14ac:dyDescent="0.35">
      <c r="A79" s="642"/>
      <c r="B79" s="854"/>
      <c r="C79" s="642"/>
      <c r="D79" s="738"/>
    </row>
    <row r="80" spans="1:4" x14ac:dyDescent="0.35">
      <c r="A80" s="642" t="s">
        <v>45</v>
      </c>
      <c r="B80" s="854">
        <v>44530</v>
      </c>
      <c r="C80" s="642" t="s">
        <v>722</v>
      </c>
      <c r="D80" s="738">
        <v>-15863.14</v>
      </c>
    </row>
    <row r="81" spans="1:4" x14ac:dyDescent="0.35">
      <c r="A81" s="642" t="s">
        <v>45</v>
      </c>
      <c r="B81" s="854">
        <v>44530</v>
      </c>
      <c r="C81" s="642" t="s">
        <v>712</v>
      </c>
      <c r="D81" s="738">
        <v>70</v>
      </c>
    </row>
    <row r="82" spans="1:4" x14ac:dyDescent="0.35">
      <c r="A82" s="642" t="s">
        <v>45</v>
      </c>
      <c r="B82" s="854">
        <v>44530</v>
      </c>
      <c r="C82" s="642" t="s">
        <v>714</v>
      </c>
      <c r="D82" s="738">
        <v>24327</v>
      </c>
    </row>
    <row r="83" spans="1:4" x14ac:dyDescent="0.35">
      <c r="A83" s="642" t="s">
        <v>45</v>
      </c>
      <c r="B83" s="854">
        <v>44530</v>
      </c>
      <c r="C83" s="642" t="s">
        <v>709</v>
      </c>
      <c r="D83" s="738">
        <v>262479.26</v>
      </c>
    </row>
    <row r="84" spans="1:4" x14ac:dyDescent="0.35">
      <c r="A84" s="642" t="s">
        <v>45</v>
      </c>
      <c r="B84" s="854">
        <v>44530</v>
      </c>
      <c r="C84" s="642" t="s">
        <v>713</v>
      </c>
      <c r="D84" s="738">
        <v>477</v>
      </c>
    </row>
    <row r="85" spans="1:4" x14ac:dyDescent="0.35">
      <c r="A85" s="642" t="s">
        <v>769</v>
      </c>
      <c r="B85" s="854"/>
      <c r="C85" s="642"/>
      <c r="D85" s="738">
        <f>SUM(D80:D84)</f>
        <v>271490.12</v>
      </c>
    </row>
    <row r="86" spans="1:4" x14ac:dyDescent="0.35">
      <c r="A86" s="682"/>
      <c r="B86" s="853"/>
      <c r="C86" s="682"/>
      <c r="D86" s="675"/>
    </row>
    <row r="87" spans="1:4" x14ac:dyDescent="0.35">
      <c r="A87" s="642" t="s">
        <v>727</v>
      </c>
      <c r="B87" s="854">
        <v>44530</v>
      </c>
      <c r="C87" s="642" t="s">
        <v>714</v>
      </c>
      <c r="D87" s="738">
        <v>5973.3</v>
      </c>
    </row>
    <row r="88" spans="1:4" x14ac:dyDescent="0.35">
      <c r="A88" s="642" t="s">
        <v>727</v>
      </c>
      <c r="B88" s="854">
        <v>44530</v>
      </c>
      <c r="C88" s="642" t="s">
        <v>707</v>
      </c>
      <c r="D88" s="738">
        <v>45993</v>
      </c>
    </row>
    <row r="89" spans="1:4" x14ac:dyDescent="0.35">
      <c r="A89" s="642" t="s">
        <v>727</v>
      </c>
      <c r="B89" s="854">
        <v>44530</v>
      </c>
      <c r="C89" s="642" t="s">
        <v>713</v>
      </c>
      <c r="D89" s="738">
        <v>152</v>
      </c>
    </row>
    <row r="90" spans="1:4" x14ac:dyDescent="0.35">
      <c r="A90" s="642" t="s">
        <v>769</v>
      </c>
      <c r="B90" s="854"/>
      <c r="C90" s="642"/>
      <c r="D90" s="738">
        <f>SUM(D87:D89)</f>
        <v>52118.3</v>
      </c>
    </row>
    <row r="91" spans="1:4" x14ac:dyDescent="0.35">
      <c r="A91" s="682"/>
      <c r="B91" s="853"/>
      <c r="C91" s="682"/>
      <c r="D91" s="675"/>
    </row>
    <row r="92" spans="1:4" x14ac:dyDescent="0.35">
      <c r="A92" s="642" t="s">
        <v>728</v>
      </c>
      <c r="B92" s="854">
        <v>44530</v>
      </c>
      <c r="C92" s="642" t="s">
        <v>713</v>
      </c>
      <c r="D92" s="738">
        <v>5492</v>
      </c>
    </row>
    <row r="93" spans="1:4" x14ac:dyDescent="0.35">
      <c r="A93" s="642" t="s">
        <v>728</v>
      </c>
      <c r="B93" s="854">
        <v>44530</v>
      </c>
      <c r="C93" s="642" t="s">
        <v>712</v>
      </c>
      <c r="D93" s="738">
        <v>585</v>
      </c>
    </row>
    <row r="94" spans="1:4" x14ac:dyDescent="0.35">
      <c r="A94" s="642" t="s">
        <v>728</v>
      </c>
      <c r="B94" s="854">
        <v>44530</v>
      </c>
      <c r="C94" s="642" t="s">
        <v>707</v>
      </c>
      <c r="D94" s="738">
        <v>842570</v>
      </c>
    </row>
    <row r="95" spans="1:4" x14ac:dyDescent="0.35">
      <c r="A95" s="642" t="s">
        <v>728</v>
      </c>
      <c r="B95" s="854">
        <v>44530</v>
      </c>
      <c r="C95" s="642" t="s">
        <v>714</v>
      </c>
      <c r="D95" s="738">
        <v>300925.8</v>
      </c>
    </row>
    <row r="96" spans="1:4" x14ac:dyDescent="0.35">
      <c r="A96" s="642" t="s">
        <v>728</v>
      </c>
      <c r="B96" s="854">
        <v>44530</v>
      </c>
      <c r="C96" s="642" t="s">
        <v>719</v>
      </c>
      <c r="D96" s="738">
        <v>10567.39</v>
      </c>
    </row>
    <row r="97" spans="1:4" x14ac:dyDescent="0.35">
      <c r="A97" s="642" t="s">
        <v>728</v>
      </c>
      <c r="B97" s="854">
        <v>44530</v>
      </c>
      <c r="C97" s="642" t="s">
        <v>709</v>
      </c>
      <c r="D97" s="738">
        <v>340041.37</v>
      </c>
    </row>
    <row r="98" spans="1:4" x14ac:dyDescent="0.35">
      <c r="A98" s="642" t="s">
        <v>769</v>
      </c>
      <c r="B98" s="854"/>
      <c r="C98" s="642"/>
      <c r="D98" s="738">
        <f>SUM(D92:D97)</f>
        <v>1500181.56</v>
      </c>
    </row>
    <row r="99" spans="1:4" x14ac:dyDescent="0.35">
      <c r="A99" s="682"/>
      <c r="B99" s="853"/>
      <c r="C99" s="682"/>
      <c r="D99" s="675"/>
    </row>
    <row r="100" spans="1:4" x14ac:dyDescent="0.35">
      <c r="A100" s="642" t="s">
        <v>729</v>
      </c>
      <c r="B100" s="854">
        <v>44530</v>
      </c>
      <c r="C100" s="642" t="s">
        <v>712</v>
      </c>
      <c r="D100" s="738">
        <v>225</v>
      </c>
    </row>
    <row r="101" spans="1:4" x14ac:dyDescent="0.35">
      <c r="A101" s="642" t="s">
        <v>729</v>
      </c>
      <c r="B101" s="854">
        <v>44530</v>
      </c>
      <c r="C101" s="642" t="s">
        <v>714</v>
      </c>
      <c r="D101" s="738">
        <v>61729</v>
      </c>
    </row>
    <row r="102" spans="1:4" x14ac:dyDescent="0.35">
      <c r="A102" s="642" t="s">
        <v>729</v>
      </c>
      <c r="B102" s="854">
        <v>44530</v>
      </c>
      <c r="C102" s="642" t="s">
        <v>707</v>
      </c>
      <c r="D102" s="738">
        <v>208113</v>
      </c>
    </row>
    <row r="103" spans="1:4" x14ac:dyDescent="0.35">
      <c r="A103" s="642" t="s">
        <v>729</v>
      </c>
      <c r="B103" s="854">
        <v>44530</v>
      </c>
      <c r="C103" s="642" t="s">
        <v>713</v>
      </c>
      <c r="D103" s="738">
        <v>721.5</v>
      </c>
    </row>
    <row r="104" spans="1:4" x14ac:dyDescent="0.35">
      <c r="A104" s="642" t="s">
        <v>769</v>
      </c>
      <c r="B104" s="854"/>
      <c r="C104" s="642"/>
      <c r="D104" s="738">
        <f>SUM(D100:D103)</f>
        <v>270788.5</v>
      </c>
    </row>
    <row r="105" spans="1:4" x14ac:dyDescent="0.35">
      <c r="A105" s="682"/>
      <c r="B105" s="853"/>
      <c r="C105" s="682"/>
      <c r="D105" s="675"/>
    </row>
    <row r="106" spans="1:4" x14ac:dyDescent="0.35">
      <c r="A106" s="642" t="s">
        <v>730</v>
      </c>
      <c r="B106" s="854">
        <v>44530</v>
      </c>
      <c r="C106" s="642" t="s">
        <v>707</v>
      </c>
      <c r="D106" s="738">
        <v>953158</v>
      </c>
    </row>
    <row r="107" spans="1:4" x14ac:dyDescent="0.35">
      <c r="A107" s="642" t="s">
        <v>730</v>
      </c>
      <c r="B107" s="854">
        <v>44530</v>
      </c>
      <c r="C107" s="642" t="s">
        <v>722</v>
      </c>
      <c r="D107" s="738">
        <v>-14291.15</v>
      </c>
    </row>
    <row r="108" spans="1:4" x14ac:dyDescent="0.35">
      <c r="A108" s="642" t="s">
        <v>730</v>
      </c>
      <c r="B108" s="854">
        <v>44530</v>
      </c>
      <c r="C108" s="642" t="s">
        <v>714</v>
      </c>
      <c r="D108" s="738">
        <v>433295.2</v>
      </c>
    </row>
    <row r="109" spans="1:4" x14ac:dyDescent="0.35">
      <c r="A109" s="642" t="s">
        <v>730</v>
      </c>
      <c r="B109" s="854">
        <v>44530</v>
      </c>
      <c r="C109" s="642" t="s">
        <v>712</v>
      </c>
      <c r="D109" s="738">
        <v>2182.9</v>
      </c>
    </row>
    <row r="110" spans="1:4" x14ac:dyDescent="0.35">
      <c r="A110" s="642" t="s">
        <v>730</v>
      </c>
      <c r="B110" s="854">
        <v>44530</v>
      </c>
      <c r="C110" s="642" t="s">
        <v>713</v>
      </c>
      <c r="D110" s="738">
        <v>10738</v>
      </c>
    </row>
    <row r="111" spans="1:4" x14ac:dyDescent="0.35">
      <c r="A111" s="642" t="s">
        <v>730</v>
      </c>
      <c r="B111" s="854">
        <v>44530</v>
      </c>
      <c r="C111" s="642" t="s">
        <v>719</v>
      </c>
      <c r="D111" s="738">
        <v>1113.52</v>
      </c>
    </row>
    <row r="112" spans="1:4" x14ac:dyDescent="0.35">
      <c r="A112" s="642" t="s">
        <v>730</v>
      </c>
      <c r="B112" s="854">
        <v>44530</v>
      </c>
      <c r="C112" s="642" t="s">
        <v>709</v>
      </c>
      <c r="D112" s="738">
        <v>833757.09</v>
      </c>
    </row>
    <row r="113" spans="1:4" x14ac:dyDescent="0.35">
      <c r="A113" s="642" t="s">
        <v>769</v>
      </c>
      <c r="B113" s="854"/>
      <c r="C113" s="642"/>
      <c r="D113" s="738">
        <f>SUM(D106:D112)</f>
        <v>2219953.56</v>
      </c>
    </row>
    <row r="114" spans="1:4" x14ac:dyDescent="0.35">
      <c r="A114" s="682"/>
      <c r="B114" s="853"/>
      <c r="C114" s="682"/>
      <c r="D114" s="675"/>
    </row>
    <row r="115" spans="1:4" x14ac:dyDescent="0.35">
      <c r="A115" s="642" t="s">
        <v>731</v>
      </c>
      <c r="B115" s="854">
        <v>44530</v>
      </c>
      <c r="C115" s="642" t="s">
        <v>713</v>
      </c>
      <c r="D115" s="738">
        <v>30883.5</v>
      </c>
    </row>
    <row r="116" spans="1:4" x14ac:dyDescent="0.35">
      <c r="A116" s="642" t="s">
        <v>731</v>
      </c>
      <c r="B116" s="854">
        <v>44530</v>
      </c>
      <c r="C116" s="642" t="s">
        <v>712</v>
      </c>
      <c r="D116" s="738">
        <v>1323.9</v>
      </c>
    </row>
    <row r="117" spans="1:4" x14ac:dyDescent="0.35">
      <c r="A117" s="642" t="s">
        <v>731</v>
      </c>
      <c r="B117" s="854">
        <v>44530</v>
      </c>
      <c r="C117" s="642" t="s">
        <v>710</v>
      </c>
      <c r="D117" s="738">
        <v>2646.13</v>
      </c>
    </row>
    <row r="118" spans="1:4" x14ac:dyDescent="0.35">
      <c r="A118" s="642" t="s">
        <v>731</v>
      </c>
      <c r="B118" s="854">
        <v>44530</v>
      </c>
      <c r="C118" s="642" t="s">
        <v>707</v>
      </c>
      <c r="D118" s="738">
        <v>6725157.1600000001</v>
      </c>
    </row>
    <row r="119" spans="1:4" x14ac:dyDescent="0.35">
      <c r="A119" s="642" t="s">
        <v>731</v>
      </c>
      <c r="B119" s="854">
        <v>44530</v>
      </c>
      <c r="C119" s="642" t="s">
        <v>714</v>
      </c>
      <c r="D119" s="738">
        <v>1519308</v>
      </c>
    </row>
    <row r="120" spans="1:4" x14ac:dyDescent="0.35">
      <c r="A120" s="642" t="s">
        <v>731</v>
      </c>
      <c r="B120" s="854">
        <v>44530</v>
      </c>
      <c r="C120" s="642" t="s">
        <v>719</v>
      </c>
      <c r="D120" s="738">
        <v>966.07</v>
      </c>
    </row>
    <row r="121" spans="1:4" x14ac:dyDescent="0.35">
      <c r="A121" s="642" t="s">
        <v>731</v>
      </c>
      <c r="B121" s="854">
        <v>44530</v>
      </c>
      <c r="C121" s="642" t="s">
        <v>709</v>
      </c>
      <c r="D121" s="738">
        <v>83984.25</v>
      </c>
    </row>
    <row r="122" spans="1:4" x14ac:dyDescent="0.35">
      <c r="A122" s="642" t="s">
        <v>769</v>
      </c>
      <c r="B122" s="854"/>
      <c r="C122" s="642"/>
      <c r="D122" s="738">
        <f>SUM(D115:D121)</f>
        <v>8364269.0100000007</v>
      </c>
    </row>
    <row r="123" spans="1:4" x14ac:dyDescent="0.35">
      <c r="A123" s="682"/>
      <c r="B123" s="853"/>
      <c r="C123" s="682"/>
      <c r="D123" s="675"/>
    </row>
    <row r="124" spans="1:4" x14ac:dyDescent="0.35">
      <c r="A124" s="642" t="s">
        <v>772</v>
      </c>
      <c r="B124" s="854">
        <v>44530</v>
      </c>
      <c r="C124" s="642" t="s">
        <v>713</v>
      </c>
      <c r="D124" s="738">
        <v>2308</v>
      </c>
    </row>
    <row r="125" spans="1:4" x14ac:dyDescent="0.35">
      <c r="A125" s="642" t="s">
        <v>772</v>
      </c>
      <c r="B125" s="854">
        <v>44530</v>
      </c>
      <c r="C125" s="642" t="s">
        <v>709</v>
      </c>
      <c r="D125" s="738">
        <v>11574.92</v>
      </c>
    </row>
    <row r="126" spans="1:4" x14ac:dyDescent="0.35">
      <c r="A126" s="642" t="s">
        <v>772</v>
      </c>
      <c r="B126" s="854">
        <v>44530</v>
      </c>
      <c r="C126" s="642" t="s">
        <v>712</v>
      </c>
      <c r="D126" s="738">
        <v>495</v>
      </c>
    </row>
    <row r="127" spans="1:4" x14ac:dyDescent="0.35">
      <c r="A127" s="642" t="s">
        <v>772</v>
      </c>
      <c r="B127" s="854">
        <v>44530</v>
      </c>
      <c r="C127" s="642" t="s">
        <v>714</v>
      </c>
      <c r="D127" s="738">
        <v>113007.4</v>
      </c>
    </row>
    <row r="128" spans="1:4" x14ac:dyDescent="0.35">
      <c r="A128" s="642" t="s">
        <v>772</v>
      </c>
      <c r="B128" s="854">
        <v>44530</v>
      </c>
      <c r="C128" s="642" t="s">
        <v>707</v>
      </c>
      <c r="D128" s="738">
        <v>419091</v>
      </c>
    </row>
    <row r="129" spans="1:4" x14ac:dyDescent="0.35">
      <c r="A129" s="642" t="s">
        <v>769</v>
      </c>
      <c r="B129" s="854"/>
      <c r="C129" s="642"/>
      <c r="D129" s="738">
        <f>SUM(D124:D128)</f>
        <v>546476.31999999995</v>
      </c>
    </row>
    <row r="130" spans="1:4" x14ac:dyDescent="0.35">
      <c r="A130" s="682"/>
      <c r="B130" s="853"/>
      <c r="C130" s="682"/>
      <c r="D130" s="675"/>
    </row>
    <row r="131" spans="1:4" x14ac:dyDescent="0.35">
      <c r="A131" s="642" t="s">
        <v>773</v>
      </c>
      <c r="B131" s="854">
        <v>44530</v>
      </c>
      <c r="C131" s="642" t="s">
        <v>713</v>
      </c>
      <c r="D131" s="738">
        <v>192.5</v>
      </c>
    </row>
    <row r="132" spans="1:4" x14ac:dyDescent="0.35">
      <c r="A132" s="642" t="s">
        <v>773</v>
      </c>
      <c r="B132" s="854">
        <v>44530</v>
      </c>
      <c r="C132" s="642" t="s">
        <v>719</v>
      </c>
      <c r="D132" s="738">
        <v>5866.75</v>
      </c>
    </row>
    <row r="133" spans="1:4" x14ac:dyDescent="0.35">
      <c r="A133" s="642" t="s">
        <v>773</v>
      </c>
      <c r="B133" s="854">
        <v>44530</v>
      </c>
      <c r="C133" s="642" t="s">
        <v>714</v>
      </c>
      <c r="D133" s="738">
        <v>2744.2</v>
      </c>
    </row>
    <row r="134" spans="1:4" x14ac:dyDescent="0.35">
      <c r="A134" s="642" t="s">
        <v>773</v>
      </c>
      <c r="B134" s="854">
        <v>44530</v>
      </c>
      <c r="C134" s="642" t="s">
        <v>709</v>
      </c>
      <c r="D134" s="738">
        <v>44653.919999999998</v>
      </c>
    </row>
    <row r="135" spans="1:4" x14ac:dyDescent="0.35">
      <c r="A135" s="642" t="s">
        <v>773</v>
      </c>
      <c r="B135" s="854">
        <v>44530</v>
      </c>
      <c r="C135" s="642" t="s">
        <v>712</v>
      </c>
      <c r="D135" s="738">
        <v>120</v>
      </c>
    </row>
    <row r="136" spans="1:4" x14ac:dyDescent="0.35">
      <c r="A136" s="642" t="s">
        <v>769</v>
      </c>
      <c r="B136" s="854"/>
      <c r="C136" s="642"/>
      <c r="D136" s="738">
        <f>SUM(D131:D135)</f>
        <v>53577.369999999995</v>
      </c>
    </row>
    <row r="137" spans="1:4" x14ac:dyDescent="0.35">
      <c r="A137" s="682"/>
      <c r="B137" s="853"/>
      <c r="C137" s="682"/>
      <c r="D137" s="675"/>
    </row>
    <row r="138" spans="1:4" x14ac:dyDescent="0.35">
      <c r="A138" s="642" t="s">
        <v>483</v>
      </c>
      <c r="B138" s="854">
        <v>44530</v>
      </c>
      <c r="C138" s="642" t="s">
        <v>709</v>
      </c>
      <c r="D138" s="738">
        <v>32494.71</v>
      </c>
    </row>
    <row r="139" spans="1:4" x14ac:dyDescent="0.35">
      <c r="A139" s="642" t="s">
        <v>483</v>
      </c>
      <c r="B139" s="854">
        <v>44530</v>
      </c>
      <c r="C139" s="642" t="s">
        <v>714</v>
      </c>
      <c r="D139" s="738">
        <v>9021.5</v>
      </c>
    </row>
    <row r="140" spans="1:4" x14ac:dyDescent="0.35">
      <c r="A140" s="642" t="s">
        <v>769</v>
      </c>
      <c r="B140" s="854"/>
      <c r="C140" s="642"/>
      <c r="D140" s="738">
        <f>SUM(D138:D139)</f>
        <v>41516.21</v>
      </c>
    </row>
    <row r="141" spans="1:4" x14ac:dyDescent="0.35">
      <c r="A141" s="682"/>
      <c r="B141" s="853"/>
      <c r="C141" s="682"/>
      <c r="D141" s="675"/>
    </row>
    <row r="142" spans="1:4" x14ac:dyDescent="0.35">
      <c r="A142" s="642" t="s">
        <v>466</v>
      </c>
      <c r="B142" s="854">
        <v>44530</v>
      </c>
      <c r="C142" s="642" t="s">
        <v>714</v>
      </c>
      <c r="D142" s="738">
        <v>11190.9</v>
      </c>
    </row>
    <row r="143" spans="1:4" x14ac:dyDescent="0.35">
      <c r="A143" s="642" t="s">
        <v>466</v>
      </c>
      <c r="B143" s="854">
        <v>44530</v>
      </c>
      <c r="C143" s="642" t="s">
        <v>709</v>
      </c>
      <c r="D143" s="738">
        <v>51983.44</v>
      </c>
    </row>
    <row r="144" spans="1:4" x14ac:dyDescent="0.35">
      <c r="A144" s="642" t="s">
        <v>769</v>
      </c>
      <c r="B144" s="854"/>
      <c r="C144" s="642"/>
      <c r="D144" s="738">
        <f>SUM(D142:D143)</f>
        <v>63174.340000000004</v>
      </c>
    </row>
    <row r="145" spans="1:4" x14ac:dyDescent="0.35">
      <c r="A145" s="682"/>
      <c r="B145" s="853"/>
      <c r="C145" s="682"/>
      <c r="D145" s="675"/>
    </row>
    <row r="146" spans="1:4" x14ac:dyDescent="0.35">
      <c r="A146" s="642" t="s">
        <v>774</v>
      </c>
      <c r="B146" s="854">
        <v>44530</v>
      </c>
      <c r="C146" s="642" t="s">
        <v>714</v>
      </c>
      <c r="D146" s="738">
        <v>9310</v>
      </c>
    </row>
    <row r="147" spans="1:4" x14ac:dyDescent="0.35">
      <c r="A147" s="642" t="s">
        <v>774</v>
      </c>
      <c r="B147" s="854">
        <v>44530</v>
      </c>
      <c r="C147" s="642" t="s">
        <v>709</v>
      </c>
      <c r="D147" s="738">
        <v>78613.34</v>
      </c>
    </row>
    <row r="148" spans="1:4" x14ac:dyDescent="0.35">
      <c r="A148" s="642" t="s">
        <v>774</v>
      </c>
      <c r="B148" s="854">
        <v>44530</v>
      </c>
      <c r="C148" s="642" t="s">
        <v>712</v>
      </c>
      <c r="D148" s="738">
        <v>240</v>
      </c>
    </row>
    <row r="149" spans="1:4" x14ac:dyDescent="0.35">
      <c r="A149" s="642" t="s">
        <v>769</v>
      </c>
      <c r="B149" s="854"/>
      <c r="C149" s="642"/>
      <c r="D149" s="738">
        <f>SUM(D146:D148)</f>
        <v>88163.34</v>
      </c>
    </row>
    <row r="150" spans="1:4" x14ac:dyDescent="0.35">
      <c r="A150" s="682"/>
      <c r="B150" s="853"/>
      <c r="C150" s="682"/>
      <c r="D150" s="675"/>
    </row>
    <row r="151" spans="1:4" x14ac:dyDescent="0.35">
      <c r="A151" s="642" t="s">
        <v>734</v>
      </c>
      <c r="B151" s="854">
        <v>44530</v>
      </c>
      <c r="C151" s="642" t="s">
        <v>713</v>
      </c>
      <c r="D151" s="738">
        <v>118.5</v>
      </c>
    </row>
    <row r="152" spans="1:4" x14ac:dyDescent="0.35">
      <c r="A152" s="642" t="s">
        <v>734</v>
      </c>
      <c r="B152" s="854">
        <v>44530</v>
      </c>
      <c r="C152" s="642" t="s">
        <v>709</v>
      </c>
      <c r="D152" s="738">
        <v>56757.32</v>
      </c>
    </row>
    <row r="153" spans="1:4" x14ac:dyDescent="0.35">
      <c r="A153" s="642" t="s">
        <v>734</v>
      </c>
      <c r="B153" s="854">
        <v>44530</v>
      </c>
      <c r="C153" s="642" t="s">
        <v>714</v>
      </c>
      <c r="D153" s="738">
        <v>9107.5</v>
      </c>
    </row>
    <row r="154" spans="1:4" x14ac:dyDescent="0.35">
      <c r="A154" s="642" t="s">
        <v>769</v>
      </c>
      <c r="B154" s="854"/>
      <c r="C154" s="642"/>
      <c r="D154" s="738">
        <f>SUM(D151:D153)</f>
        <v>65983.320000000007</v>
      </c>
    </row>
    <row r="155" spans="1:4" x14ac:dyDescent="0.35">
      <c r="A155" s="682"/>
      <c r="B155" s="853"/>
      <c r="C155" s="682"/>
      <c r="D155" s="675"/>
    </row>
    <row r="156" spans="1:4" x14ac:dyDescent="0.35">
      <c r="A156" s="642" t="s">
        <v>736</v>
      </c>
      <c r="B156" s="854">
        <v>44530</v>
      </c>
      <c r="C156" s="642" t="s">
        <v>709</v>
      </c>
      <c r="D156" s="738">
        <v>160387.76</v>
      </c>
    </row>
    <row r="157" spans="1:4" x14ac:dyDescent="0.35">
      <c r="A157" s="642" t="s">
        <v>736</v>
      </c>
      <c r="B157" s="854">
        <v>44530</v>
      </c>
      <c r="C157" s="642" t="s">
        <v>714</v>
      </c>
      <c r="D157" s="738">
        <v>382217.1</v>
      </c>
    </row>
    <row r="158" spans="1:4" x14ac:dyDescent="0.35">
      <c r="A158" s="642" t="s">
        <v>736</v>
      </c>
      <c r="B158" s="854">
        <v>44530</v>
      </c>
      <c r="C158" s="642" t="s">
        <v>707</v>
      </c>
      <c r="D158" s="738">
        <v>844994</v>
      </c>
    </row>
    <row r="159" spans="1:4" x14ac:dyDescent="0.35">
      <c r="A159" s="642" t="s">
        <v>736</v>
      </c>
      <c r="B159" s="854">
        <v>44530</v>
      </c>
      <c r="C159" s="642" t="s">
        <v>712</v>
      </c>
      <c r="D159" s="738">
        <v>1161.5</v>
      </c>
    </row>
    <row r="160" spans="1:4" x14ac:dyDescent="0.35">
      <c r="A160" s="642" t="s">
        <v>736</v>
      </c>
      <c r="B160" s="854">
        <v>44530</v>
      </c>
      <c r="C160" s="642" t="s">
        <v>713</v>
      </c>
      <c r="D160" s="738">
        <v>3251</v>
      </c>
    </row>
    <row r="161" spans="1:4" x14ac:dyDescent="0.35">
      <c r="A161" s="642" t="s">
        <v>736</v>
      </c>
      <c r="B161" s="854">
        <v>44530</v>
      </c>
      <c r="C161" s="642" t="s">
        <v>722</v>
      </c>
      <c r="D161" s="738">
        <v>-11704.04</v>
      </c>
    </row>
    <row r="162" spans="1:4" x14ac:dyDescent="0.35">
      <c r="A162" s="642" t="s">
        <v>769</v>
      </c>
      <c r="B162" s="854"/>
      <c r="C162" s="642"/>
      <c r="D162" s="738">
        <f>SUM(D156:D161)</f>
        <v>1380307.3199999998</v>
      </c>
    </row>
    <row r="163" spans="1:4" x14ac:dyDescent="0.35">
      <c r="A163" s="682"/>
      <c r="B163" s="853"/>
      <c r="C163" s="682"/>
      <c r="D163" s="675"/>
    </row>
    <row r="164" spans="1:4" x14ac:dyDescent="0.35">
      <c r="A164" s="642" t="s">
        <v>737</v>
      </c>
      <c r="B164" s="854">
        <v>44530</v>
      </c>
      <c r="C164" s="642" t="s">
        <v>713</v>
      </c>
      <c r="D164" s="738">
        <v>695</v>
      </c>
    </row>
    <row r="165" spans="1:4" x14ac:dyDescent="0.35">
      <c r="A165" s="642" t="s">
        <v>737</v>
      </c>
      <c r="B165" s="854">
        <v>44530</v>
      </c>
      <c r="C165" s="642" t="s">
        <v>712</v>
      </c>
      <c r="D165" s="738">
        <v>170</v>
      </c>
    </row>
    <row r="166" spans="1:4" x14ac:dyDescent="0.35">
      <c r="A166" s="642" t="s">
        <v>737</v>
      </c>
      <c r="B166" s="854">
        <v>44530</v>
      </c>
      <c r="C166" s="642" t="s">
        <v>714</v>
      </c>
      <c r="D166" s="738">
        <v>24795.8</v>
      </c>
    </row>
    <row r="167" spans="1:4" x14ac:dyDescent="0.35">
      <c r="A167" s="642" t="s">
        <v>737</v>
      </c>
      <c r="B167" s="854">
        <v>44530</v>
      </c>
      <c r="C167" s="642" t="s">
        <v>707</v>
      </c>
      <c r="D167" s="738">
        <v>63252</v>
      </c>
    </row>
    <row r="168" spans="1:4" x14ac:dyDescent="0.35">
      <c r="A168" s="642" t="s">
        <v>769</v>
      </c>
      <c r="B168" s="854"/>
      <c r="C168" s="642"/>
      <c r="D168" s="738">
        <f>SUM(D164:D167)</f>
        <v>88912.8</v>
      </c>
    </row>
    <row r="169" spans="1:4" x14ac:dyDescent="0.35">
      <c r="A169" s="682"/>
      <c r="B169" s="853"/>
      <c r="C169" s="682"/>
      <c r="D169" s="675"/>
    </row>
    <row r="170" spans="1:4" x14ac:dyDescent="0.35">
      <c r="A170" s="642" t="s">
        <v>738</v>
      </c>
      <c r="B170" s="854">
        <v>44530</v>
      </c>
      <c r="C170" s="642" t="s">
        <v>707</v>
      </c>
      <c r="D170" s="738">
        <v>35925</v>
      </c>
    </row>
    <row r="171" spans="1:4" x14ac:dyDescent="0.35">
      <c r="A171" s="642" t="s">
        <v>738</v>
      </c>
      <c r="B171" s="854">
        <v>44530</v>
      </c>
      <c r="C171" s="642" t="s">
        <v>714</v>
      </c>
      <c r="D171" s="738">
        <v>3627.5</v>
      </c>
    </row>
    <row r="172" spans="1:4" x14ac:dyDescent="0.35">
      <c r="A172" s="642" t="s">
        <v>769</v>
      </c>
      <c r="B172" s="854"/>
      <c r="C172" s="642"/>
      <c r="D172" s="738">
        <f>SUM(D170:D171)</f>
        <v>39552.5</v>
      </c>
    </row>
    <row r="173" spans="1:4" x14ac:dyDescent="0.35">
      <c r="A173" s="682"/>
      <c r="B173" s="853"/>
      <c r="C173" s="682"/>
      <c r="D173" s="675"/>
    </row>
    <row r="174" spans="1:4" x14ac:dyDescent="0.35">
      <c r="A174" s="642" t="s">
        <v>739</v>
      </c>
      <c r="B174" s="854">
        <v>44530</v>
      </c>
      <c r="C174" s="642" t="s">
        <v>712</v>
      </c>
      <c r="D174" s="738">
        <v>686.9</v>
      </c>
    </row>
    <row r="175" spans="1:4" x14ac:dyDescent="0.35">
      <c r="A175" s="642" t="s">
        <v>739</v>
      </c>
      <c r="B175" s="854">
        <v>44530</v>
      </c>
      <c r="C175" s="642" t="s">
        <v>707</v>
      </c>
      <c r="D175" s="738">
        <v>142044</v>
      </c>
    </row>
    <row r="176" spans="1:4" x14ac:dyDescent="0.35">
      <c r="A176" s="642" t="s">
        <v>739</v>
      </c>
      <c r="B176" s="854">
        <v>44530</v>
      </c>
      <c r="C176" s="642" t="s">
        <v>713</v>
      </c>
      <c r="D176" s="738">
        <v>1785.5</v>
      </c>
    </row>
    <row r="177" spans="1:5" x14ac:dyDescent="0.35">
      <c r="A177" s="642" t="s">
        <v>739</v>
      </c>
      <c r="B177" s="854">
        <v>44530</v>
      </c>
      <c r="C177" s="642" t="s">
        <v>709</v>
      </c>
      <c r="D177" s="738">
        <v>25966.07</v>
      </c>
    </row>
    <row r="178" spans="1:5" x14ac:dyDescent="0.35">
      <c r="A178" s="642" t="s">
        <v>739</v>
      </c>
      <c r="B178" s="854">
        <v>44530</v>
      </c>
      <c r="C178" s="642" t="s">
        <v>714</v>
      </c>
      <c r="D178" s="738">
        <v>53168.4</v>
      </c>
    </row>
    <row r="179" spans="1:5" x14ac:dyDescent="0.35">
      <c r="A179" s="642" t="s">
        <v>769</v>
      </c>
      <c r="B179" s="854"/>
      <c r="C179" s="642"/>
      <c r="D179" s="738">
        <f>SUM(D174:D178)</f>
        <v>223650.87</v>
      </c>
    </row>
    <row r="180" spans="1:5" x14ac:dyDescent="0.35">
      <c r="A180" s="642"/>
      <c r="B180" s="854"/>
      <c r="C180" s="642"/>
      <c r="D180" s="738"/>
      <c r="E180" s="642"/>
    </row>
    <row r="181" spans="1:5" x14ac:dyDescent="0.35">
      <c r="A181" s="642" t="s">
        <v>740</v>
      </c>
      <c r="B181" s="854">
        <v>44530</v>
      </c>
      <c r="C181" s="642" t="s">
        <v>713</v>
      </c>
      <c r="D181" s="738">
        <v>3701</v>
      </c>
      <c r="E181" s="642"/>
    </row>
    <row r="182" spans="1:5" x14ac:dyDescent="0.35">
      <c r="A182" s="642" t="s">
        <v>740</v>
      </c>
      <c r="B182" s="854">
        <v>44530</v>
      </c>
      <c r="C182" s="642" t="s">
        <v>707</v>
      </c>
      <c r="D182" s="738">
        <v>137598</v>
      </c>
      <c r="E182" s="642"/>
    </row>
    <row r="183" spans="1:5" x14ac:dyDescent="0.35">
      <c r="A183" s="642" t="s">
        <v>740</v>
      </c>
      <c r="B183" s="854">
        <v>44530</v>
      </c>
      <c r="C183" s="642" t="s">
        <v>714</v>
      </c>
      <c r="D183" s="738">
        <v>45555.5</v>
      </c>
      <c r="E183" s="642"/>
    </row>
    <row r="184" spans="1:5" x14ac:dyDescent="0.35">
      <c r="A184" s="642" t="s">
        <v>740</v>
      </c>
      <c r="B184" s="854">
        <v>44530</v>
      </c>
      <c r="C184" s="642" t="s">
        <v>712</v>
      </c>
      <c r="D184" s="738">
        <v>214</v>
      </c>
      <c r="E184" s="642"/>
    </row>
    <row r="185" spans="1:5" x14ac:dyDescent="0.35">
      <c r="A185" s="642" t="s">
        <v>769</v>
      </c>
      <c r="B185" s="854"/>
      <c r="C185" s="642"/>
      <c r="D185" s="738">
        <f>SUM(D181:D184)</f>
        <v>187068.5</v>
      </c>
      <c r="E185" s="642"/>
    </row>
    <row r="186" spans="1:5" x14ac:dyDescent="0.35">
      <c r="A186" s="642"/>
      <c r="B186" s="854"/>
      <c r="C186" s="642"/>
      <c r="D186" s="738"/>
      <c r="E186" s="642"/>
    </row>
    <row r="187" spans="1:5" x14ac:dyDescent="0.35">
      <c r="A187" s="642" t="s">
        <v>741</v>
      </c>
      <c r="B187" s="854">
        <v>44530</v>
      </c>
      <c r="C187" s="642" t="s">
        <v>713</v>
      </c>
      <c r="D187" s="738">
        <v>275.5</v>
      </c>
    </row>
    <row r="188" spans="1:5" x14ac:dyDescent="0.35">
      <c r="A188" s="642" t="s">
        <v>741</v>
      </c>
      <c r="B188" s="854">
        <v>44530</v>
      </c>
      <c r="C188" s="642" t="s">
        <v>709</v>
      </c>
      <c r="D188" s="738">
        <v>157860.46</v>
      </c>
    </row>
    <row r="189" spans="1:5" x14ac:dyDescent="0.35">
      <c r="A189" s="642" t="s">
        <v>741</v>
      </c>
      <c r="B189" s="854">
        <v>44530</v>
      </c>
      <c r="C189" s="642" t="s">
        <v>714</v>
      </c>
      <c r="D189" s="738">
        <v>28102.799999999999</v>
      </c>
    </row>
    <row r="190" spans="1:5" x14ac:dyDescent="0.35">
      <c r="A190" s="642" t="s">
        <v>769</v>
      </c>
      <c r="B190" s="854"/>
      <c r="C190" s="642"/>
      <c r="D190" s="738">
        <f>SUM(D187:D189)</f>
        <v>186238.75999999998</v>
      </c>
    </row>
    <row r="191" spans="1:5" x14ac:dyDescent="0.35">
      <c r="A191" s="682"/>
      <c r="B191" s="853"/>
      <c r="C191" s="682"/>
      <c r="D191" s="675"/>
    </row>
    <row r="192" spans="1:5" x14ac:dyDescent="0.35">
      <c r="A192" s="642" t="s">
        <v>742</v>
      </c>
      <c r="B192" s="854">
        <v>44530</v>
      </c>
      <c r="C192" s="642" t="s">
        <v>713</v>
      </c>
      <c r="D192" s="738">
        <v>7450</v>
      </c>
    </row>
    <row r="193" spans="1:4" x14ac:dyDescent="0.35">
      <c r="A193" s="642" t="s">
        <v>742</v>
      </c>
      <c r="B193" s="854">
        <v>44530</v>
      </c>
      <c r="C193" s="642" t="s">
        <v>714</v>
      </c>
      <c r="D193" s="738">
        <v>153366.5</v>
      </c>
    </row>
    <row r="194" spans="1:4" x14ac:dyDescent="0.35">
      <c r="A194" s="642" t="s">
        <v>742</v>
      </c>
      <c r="B194" s="854">
        <v>44530</v>
      </c>
      <c r="C194" s="642" t="s">
        <v>707</v>
      </c>
      <c r="D194" s="738">
        <v>856176</v>
      </c>
    </row>
    <row r="195" spans="1:4" x14ac:dyDescent="0.35">
      <c r="A195" s="642" t="s">
        <v>742</v>
      </c>
      <c r="B195" s="854">
        <v>44530</v>
      </c>
      <c r="C195" s="642" t="s">
        <v>712</v>
      </c>
      <c r="D195" s="738">
        <v>1357.5</v>
      </c>
    </row>
    <row r="196" spans="1:4" x14ac:dyDescent="0.35">
      <c r="A196" s="642" t="s">
        <v>769</v>
      </c>
      <c r="B196" s="854"/>
      <c r="C196" s="642"/>
      <c r="D196" s="738">
        <f>SUM(D192:D195)</f>
        <v>1018350</v>
      </c>
    </row>
    <row r="197" spans="1:4" x14ac:dyDescent="0.35">
      <c r="A197" s="682"/>
      <c r="B197" s="853"/>
      <c r="C197" s="682"/>
      <c r="D197" s="675"/>
    </row>
    <row r="198" spans="1:4" x14ac:dyDescent="0.35">
      <c r="A198" s="642" t="s">
        <v>743</v>
      </c>
      <c r="B198" s="854">
        <v>44530</v>
      </c>
      <c r="C198" s="642" t="s">
        <v>709</v>
      </c>
      <c r="D198" s="738">
        <v>19528.02</v>
      </c>
    </row>
    <row r="199" spans="1:4" x14ac:dyDescent="0.35">
      <c r="A199" s="642" t="s">
        <v>743</v>
      </c>
      <c r="B199" s="854">
        <v>44530</v>
      </c>
      <c r="C199" s="642" t="s">
        <v>713</v>
      </c>
      <c r="D199" s="738">
        <v>13755</v>
      </c>
    </row>
    <row r="200" spans="1:4" x14ac:dyDescent="0.35">
      <c r="A200" s="642" t="s">
        <v>743</v>
      </c>
      <c r="B200" s="854">
        <v>44530</v>
      </c>
      <c r="C200" s="642" t="s">
        <v>714</v>
      </c>
      <c r="D200" s="738">
        <v>133943.1</v>
      </c>
    </row>
    <row r="201" spans="1:4" x14ac:dyDescent="0.35">
      <c r="A201" s="642" t="s">
        <v>743</v>
      </c>
      <c r="B201" s="854">
        <v>44530</v>
      </c>
      <c r="C201" s="642" t="s">
        <v>712</v>
      </c>
      <c r="D201" s="738">
        <v>303</v>
      </c>
    </row>
    <row r="202" spans="1:4" x14ac:dyDescent="0.35">
      <c r="A202" s="642" t="s">
        <v>743</v>
      </c>
      <c r="B202" s="854">
        <v>44530</v>
      </c>
      <c r="C202" s="642" t="s">
        <v>707</v>
      </c>
      <c r="D202" s="738">
        <v>385077</v>
      </c>
    </row>
    <row r="203" spans="1:4" x14ac:dyDescent="0.35">
      <c r="A203" s="642" t="s">
        <v>769</v>
      </c>
      <c r="B203" s="854"/>
      <c r="C203" s="642"/>
      <c r="D203" s="738">
        <f>SUM(D198:D202)</f>
        <v>552606.12</v>
      </c>
    </row>
    <row r="204" spans="1:4" x14ac:dyDescent="0.35">
      <c r="A204" s="682"/>
      <c r="B204" s="853"/>
      <c r="C204" s="682"/>
      <c r="D204" s="675"/>
    </row>
    <row r="205" spans="1:4" x14ac:dyDescent="0.35">
      <c r="A205" s="642" t="s">
        <v>526</v>
      </c>
      <c r="B205" s="854">
        <v>44530</v>
      </c>
      <c r="C205" s="642" t="s">
        <v>707</v>
      </c>
      <c r="D205" s="738">
        <v>1448906</v>
      </c>
    </row>
    <row r="206" spans="1:4" x14ac:dyDescent="0.35">
      <c r="A206" s="642" t="s">
        <v>526</v>
      </c>
      <c r="B206" s="854">
        <v>44530</v>
      </c>
      <c r="C206" s="642" t="s">
        <v>712</v>
      </c>
      <c r="D206" s="738">
        <v>1090</v>
      </c>
    </row>
    <row r="207" spans="1:4" x14ac:dyDescent="0.35">
      <c r="A207" s="642" t="s">
        <v>526</v>
      </c>
      <c r="B207" s="854">
        <v>44530</v>
      </c>
      <c r="C207" s="642" t="s">
        <v>713</v>
      </c>
      <c r="D207" s="738">
        <v>4046</v>
      </c>
    </row>
    <row r="208" spans="1:4" x14ac:dyDescent="0.35">
      <c r="A208" s="642" t="s">
        <v>526</v>
      </c>
      <c r="B208" s="854">
        <v>44530</v>
      </c>
      <c r="C208" s="642" t="s">
        <v>714</v>
      </c>
      <c r="D208" s="738">
        <v>287624</v>
      </c>
    </row>
    <row r="209" spans="1:4" x14ac:dyDescent="0.35">
      <c r="A209" s="642" t="s">
        <v>769</v>
      </c>
      <c r="B209" s="854"/>
      <c r="C209" s="642"/>
      <c r="D209" s="738">
        <f>SUM(D205:D208)</f>
        <v>1741666</v>
      </c>
    </row>
    <row r="210" spans="1:4" x14ac:dyDescent="0.35">
      <c r="A210" s="682"/>
      <c r="B210" s="853"/>
      <c r="C210" s="682"/>
      <c r="D210" s="675"/>
    </row>
    <row r="211" spans="1:4" x14ac:dyDescent="0.35">
      <c r="A211" s="642" t="s">
        <v>744</v>
      </c>
      <c r="B211" s="854">
        <v>44530</v>
      </c>
      <c r="C211" s="642" t="s">
        <v>712</v>
      </c>
      <c r="D211" s="738">
        <v>60</v>
      </c>
    </row>
    <row r="212" spans="1:4" x14ac:dyDescent="0.35">
      <c r="A212" s="642" t="s">
        <v>744</v>
      </c>
      <c r="B212" s="854">
        <v>44530</v>
      </c>
      <c r="C212" s="642" t="s">
        <v>714</v>
      </c>
      <c r="D212" s="738">
        <v>26228.7</v>
      </c>
    </row>
    <row r="213" spans="1:4" x14ac:dyDescent="0.35">
      <c r="A213" s="642" t="s">
        <v>744</v>
      </c>
      <c r="B213" s="854">
        <v>44530</v>
      </c>
      <c r="C213" s="642" t="s">
        <v>707</v>
      </c>
      <c r="D213" s="738">
        <v>29799</v>
      </c>
    </row>
    <row r="214" spans="1:4" x14ac:dyDescent="0.35">
      <c r="A214" s="642" t="s">
        <v>744</v>
      </c>
      <c r="B214" s="854">
        <v>44530</v>
      </c>
      <c r="C214" s="642" t="s">
        <v>709</v>
      </c>
      <c r="D214" s="738">
        <v>152247.21</v>
      </c>
    </row>
    <row r="215" spans="1:4" x14ac:dyDescent="0.35">
      <c r="A215" s="642" t="s">
        <v>744</v>
      </c>
      <c r="B215" s="854">
        <v>44530</v>
      </c>
      <c r="C215" s="642" t="s">
        <v>713</v>
      </c>
      <c r="D215" s="738">
        <v>1350.5</v>
      </c>
    </row>
    <row r="216" spans="1:4" x14ac:dyDescent="0.35">
      <c r="A216" s="642" t="s">
        <v>769</v>
      </c>
      <c r="B216" s="854"/>
      <c r="C216" s="642"/>
      <c r="D216" s="738">
        <f>SUM(D211:D215)</f>
        <v>209685.40999999997</v>
      </c>
    </row>
    <row r="217" spans="1:4" x14ac:dyDescent="0.35">
      <c r="A217" s="682"/>
      <c r="B217" s="853"/>
      <c r="C217" s="682"/>
      <c r="D217" s="675"/>
    </row>
    <row r="218" spans="1:4" x14ac:dyDescent="0.35">
      <c r="A218" s="737" t="s">
        <v>745</v>
      </c>
      <c r="B218" s="855">
        <v>44530</v>
      </c>
      <c r="C218" s="737" t="s">
        <v>709</v>
      </c>
      <c r="D218" s="856">
        <v>122697.82</v>
      </c>
    </row>
    <row r="219" spans="1:4" x14ac:dyDescent="0.35">
      <c r="A219" s="737" t="s">
        <v>745</v>
      </c>
      <c r="B219" s="855">
        <v>44530</v>
      </c>
      <c r="C219" s="737" t="s">
        <v>712</v>
      </c>
      <c r="D219" s="856">
        <v>544.70000000000005</v>
      </c>
    </row>
    <row r="220" spans="1:4" x14ac:dyDescent="0.35">
      <c r="A220" s="737" t="s">
        <v>745</v>
      </c>
      <c r="B220" s="855">
        <v>44530</v>
      </c>
      <c r="C220" s="737" t="s">
        <v>714</v>
      </c>
      <c r="D220" s="856">
        <v>207774.6</v>
      </c>
    </row>
    <row r="221" spans="1:4" x14ac:dyDescent="0.35">
      <c r="A221" s="737" t="s">
        <v>745</v>
      </c>
      <c r="B221" s="855">
        <v>44530</v>
      </c>
      <c r="C221" s="737" t="s">
        <v>713</v>
      </c>
      <c r="D221" s="856">
        <v>15645.5</v>
      </c>
    </row>
    <row r="222" spans="1:4" x14ac:dyDescent="0.35">
      <c r="A222" s="737" t="s">
        <v>745</v>
      </c>
      <c r="B222" s="855">
        <v>44530</v>
      </c>
      <c r="C222" s="737" t="s">
        <v>707</v>
      </c>
      <c r="D222" s="856">
        <v>473749</v>
      </c>
    </row>
    <row r="223" spans="1:4" x14ac:dyDescent="0.35">
      <c r="A223" s="737" t="s">
        <v>769</v>
      </c>
      <c r="B223" s="855"/>
      <c r="C223" s="737"/>
      <c r="D223" s="856">
        <f>SUM(D218:D222)</f>
        <v>820411.62</v>
      </c>
    </row>
    <row r="224" spans="1:4" x14ac:dyDescent="0.35">
      <c r="A224" s="682"/>
      <c r="B224" s="853"/>
      <c r="C224" s="682"/>
      <c r="D224" s="675"/>
    </row>
    <row r="225" spans="1:4" x14ac:dyDescent="0.35">
      <c r="A225" s="642" t="s">
        <v>746</v>
      </c>
      <c r="B225" s="854">
        <v>44530</v>
      </c>
      <c r="C225" s="642" t="s">
        <v>707</v>
      </c>
      <c r="D225" s="738">
        <v>52738</v>
      </c>
    </row>
    <row r="226" spans="1:4" x14ac:dyDescent="0.35">
      <c r="A226" s="642" t="s">
        <v>746</v>
      </c>
      <c r="B226" s="854">
        <v>44530</v>
      </c>
      <c r="C226" s="642" t="s">
        <v>709</v>
      </c>
      <c r="D226" s="738">
        <v>20434.240000000002</v>
      </c>
    </row>
    <row r="227" spans="1:4" x14ac:dyDescent="0.35">
      <c r="A227" s="642" t="s">
        <v>746</v>
      </c>
      <c r="B227" s="854">
        <v>44530</v>
      </c>
      <c r="C227" s="642" t="s">
        <v>714</v>
      </c>
      <c r="D227" s="738">
        <v>5580.7</v>
      </c>
    </row>
    <row r="228" spans="1:4" x14ac:dyDescent="0.35">
      <c r="A228" s="642" t="s">
        <v>769</v>
      </c>
      <c r="B228" s="854"/>
      <c r="C228" s="642"/>
      <c r="D228" s="738">
        <f>SUM(D225:D227)</f>
        <v>78752.94</v>
      </c>
    </row>
    <row r="229" spans="1:4" x14ac:dyDescent="0.35">
      <c r="A229" s="682"/>
      <c r="B229" s="853"/>
      <c r="C229" s="682"/>
      <c r="D229" s="675"/>
    </row>
    <row r="230" spans="1:4" x14ac:dyDescent="0.35">
      <c r="A230" s="642" t="s">
        <v>748</v>
      </c>
      <c r="B230" s="854">
        <v>44530</v>
      </c>
      <c r="C230" s="642" t="s">
        <v>709</v>
      </c>
      <c r="D230" s="738">
        <v>298990.65000000002</v>
      </c>
    </row>
    <row r="231" spans="1:4" x14ac:dyDescent="0.35">
      <c r="A231" s="642" t="s">
        <v>748</v>
      </c>
      <c r="B231" s="854">
        <v>44530</v>
      </c>
      <c r="C231" s="642" t="s">
        <v>714</v>
      </c>
      <c r="D231" s="738">
        <v>91512.5</v>
      </c>
    </row>
    <row r="232" spans="1:4" x14ac:dyDescent="0.35">
      <c r="A232" s="642" t="s">
        <v>748</v>
      </c>
      <c r="B232" s="854">
        <v>44530</v>
      </c>
      <c r="C232" s="642" t="s">
        <v>712</v>
      </c>
      <c r="D232" s="738">
        <v>249.8</v>
      </c>
    </row>
    <row r="233" spans="1:4" x14ac:dyDescent="0.35">
      <c r="A233" s="642" t="s">
        <v>748</v>
      </c>
      <c r="B233" s="854">
        <v>44530</v>
      </c>
      <c r="C233" s="642" t="s">
        <v>713</v>
      </c>
      <c r="D233" s="738">
        <v>4284</v>
      </c>
    </row>
    <row r="234" spans="1:4" x14ac:dyDescent="0.35">
      <c r="A234" s="642" t="s">
        <v>769</v>
      </c>
      <c r="B234" s="854"/>
      <c r="C234" s="642"/>
      <c r="D234" s="738">
        <f>SUM(D230:D233)</f>
        <v>395036.95</v>
      </c>
    </row>
    <row r="235" spans="1:4" x14ac:dyDescent="0.35">
      <c r="A235" s="642"/>
      <c r="B235" s="854"/>
      <c r="C235" s="642"/>
      <c r="D235" s="738"/>
    </row>
    <row r="236" spans="1:4" x14ac:dyDescent="0.35">
      <c r="A236" s="642" t="s">
        <v>749</v>
      </c>
      <c r="B236" s="854">
        <v>44530</v>
      </c>
      <c r="C236" s="642" t="s">
        <v>713</v>
      </c>
      <c r="D236" s="738">
        <v>2311</v>
      </c>
    </row>
    <row r="237" spans="1:4" x14ac:dyDescent="0.35">
      <c r="A237" s="642" t="s">
        <v>749</v>
      </c>
      <c r="B237" s="854">
        <v>44530</v>
      </c>
      <c r="C237" s="642" t="s">
        <v>709</v>
      </c>
      <c r="D237" s="738">
        <v>73778.649999999994</v>
      </c>
    </row>
    <row r="238" spans="1:4" x14ac:dyDescent="0.35">
      <c r="A238" s="642" t="s">
        <v>749</v>
      </c>
      <c r="B238" s="854">
        <v>44530</v>
      </c>
      <c r="C238" s="642" t="s">
        <v>712</v>
      </c>
      <c r="D238" s="738">
        <v>216.5</v>
      </c>
    </row>
    <row r="239" spans="1:4" x14ac:dyDescent="0.35">
      <c r="A239" s="642" t="s">
        <v>749</v>
      </c>
      <c r="B239" s="854">
        <v>44530</v>
      </c>
      <c r="C239" s="642" t="s">
        <v>714</v>
      </c>
      <c r="D239" s="738">
        <v>11415.8</v>
      </c>
    </row>
    <row r="240" spans="1:4" x14ac:dyDescent="0.35">
      <c r="A240" s="642" t="s">
        <v>749</v>
      </c>
      <c r="B240" s="854">
        <v>44530</v>
      </c>
      <c r="C240" s="642" t="s">
        <v>707</v>
      </c>
      <c r="D240" s="738">
        <v>29097</v>
      </c>
    </row>
    <row r="241" spans="1:4" x14ac:dyDescent="0.35">
      <c r="A241" s="642" t="s">
        <v>769</v>
      </c>
      <c r="B241" s="854"/>
      <c r="C241" s="642"/>
      <c r="D241" s="738">
        <f>SUM(D236:D240)</f>
        <v>116818.95</v>
      </c>
    </row>
    <row r="242" spans="1:4" x14ac:dyDescent="0.35">
      <c r="A242" s="682"/>
      <c r="B242" s="853"/>
      <c r="C242" s="682"/>
      <c r="D242" s="675"/>
    </row>
    <row r="243" spans="1:4" x14ac:dyDescent="0.35">
      <c r="A243" s="642" t="s">
        <v>750</v>
      </c>
      <c r="B243" s="854">
        <v>44530</v>
      </c>
      <c r="C243" s="642" t="s">
        <v>709</v>
      </c>
      <c r="D243" s="738">
        <v>136278.56</v>
      </c>
    </row>
    <row r="244" spans="1:4" x14ac:dyDescent="0.35">
      <c r="A244" s="642" t="s">
        <v>750</v>
      </c>
      <c r="B244" s="854">
        <v>44530</v>
      </c>
      <c r="C244" s="642" t="s">
        <v>712</v>
      </c>
      <c r="D244" s="738">
        <v>230</v>
      </c>
    </row>
    <row r="245" spans="1:4" x14ac:dyDescent="0.35">
      <c r="A245" s="642" t="s">
        <v>750</v>
      </c>
      <c r="B245" s="854">
        <v>44530</v>
      </c>
      <c r="C245" s="642" t="s">
        <v>713</v>
      </c>
      <c r="D245" s="738">
        <v>1847</v>
      </c>
    </row>
    <row r="246" spans="1:4" x14ac:dyDescent="0.35">
      <c r="A246" s="642" t="s">
        <v>750</v>
      </c>
      <c r="B246" s="854">
        <v>44530</v>
      </c>
      <c r="C246" s="642" t="s">
        <v>707</v>
      </c>
      <c r="D246" s="738">
        <v>583294</v>
      </c>
    </row>
    <row r="247" spans="1:4" x14ac:dyDescent="0.35">
      <c r="A247" s="642" t="s">
        <v>750</v>
      </c>
      <c r="B247" s="854">
        <v>44530</v>
      </c>
      <c r="C247" s="642" t="s">
        <v>714</v>
      </c>
      <c r="D247" s="738">
        <v>230124.7</v>
      </c>
    </row>
    <row r="248" spans="1:4" x14ac:dyDescent="0.35">
      <c r="A248" s="642" t="s">
        <v>769</v>
      </c>
      <c r="B248" s="854"/>
      <c r="C248" s="642"/>
      <c r="D248" s="738">
        <f>SUM(D243:D247)</f>
        <v>951774.26</v>
      </c>
    </row>
    <row r="249" spans="1:4" x14ac:dyDescent="0.35">
      <c r="A249" s="682"/>
      <c r="B249" s="853"/>
      <c r="C249" s="682"/>
      <c r="D249" s="675"/>
    </row>
    <row r="250" spans="1:4" x14ac:dyDescent="0.35">
      <c r="A250" s="642" t="s">
        <v>751</v>
      </c>
      <c r="B250" s="854">
        <v>44530</v>
      </c>
      <c r="C250" s="642" t="s">
        <v>707</v>
      </c>
      <c r="D250" s="738">
        <v>686953</v>
      </c>
    </row>
    <row r="251" spans="1:4" x14ac:dyDescent="0.35">
      <c r="A251" s="642" t="s">
        <v>751</v>
      </c>
      <c r="B251" s="854">
        <v>44530</v>
      </c>
      <c r="C251" s="642" t="s">
        <v>713</v>
      </c>
      <c r="D251" s="738">
        <v>6829.5</v>
      </c>
    </row>
    <row r="252" spans="1:4" x14ac:dyDescent="0.35">
      <c r="A252" s="642" t="s">
        <v>751</v>
      </c>
      <c r="B252" s="854">
        <v>44530</v>
      </c>
      <c r="C252" s="642" t="s">
        <v>709</v>
      </c>
      <c r="D252" s="738">
        <v>14291.15</v>
      </c>
    </row>
    <row r="253" spans="1:4" x14ac:dyDescent="0.35">
      <c r="A253" s="642" t="s">
        <v>751</v>
      </c>
      <c r="B253" s="854">
        <v>44530</v>
      </c>
      <c r="C253" s="642" t="s">
        <v>714</v>
      </c>
      <c r="D253" s="738">
        <v>162673</v>
      </c>
    </row>
    <row r="254" spans="1:4" x14ac:dyDescent="0.35">
      <c r="A254" s="642" t="s">
        <v>751</v>
      </c>
      <c r="B254" s="854">
        <v>44530</v>
      </c>
      <c r="C254" s="642" t="s">
        <v>712</v>
      </c>
      <c r="D254" s="738">
        <v>888.8</v>
      </c>
    </row>
    <row r="255" spans="1:4" x14ac:dyDescent="0.35">
      <c r="A255" s="642" t="s">
        <v>769</v>
      </c>
      <c r="B255" s="854"/>
      <c r="C255" s="642"/>
      <c r="D255" s="738">
        <f>SUM(D250:D254)</f>
        <v>871635.45000000007</v>
      </c>
    </row>
    <row r="256" spans="1:4" x14ac:dyDescent="0.35">
      <c r="A256" s="682"/>
      <c r="B256" s="853"/>
      <c r="C256" s="682"/>
      <c r="D256" s="675"/>
    </row>
    <row r="257" spans="1:4" x14ac:dyDescent="0.35">
      <c r="A257" s="642" t="s">
        <v>752</v>
      </c>
      <c r="B257" s="854">
        <v>44530</v>
      </c>
      <c r="C257" s="642" t="s">
        <v>714</v>
      </c>
      <c r="D257" s="738">
        <v>6495.2</v>
      </c>
    </row>
    <row r="258" spans="1:4" x14ac:dyDescent="0.35">
      <c r="A258" s="642" t="s">
        <v>752</v>
      </c>
      <c r="B258" s="854">
        <v>44530</v>
      </c>
      <c r="C258" s="642" t="s">
        <v>709</v>
      </c>
      <c r="D258" s="738">
        <v>37114.44</v>
      </c>
    </row>
    <row r="259" spans="1:4" x14ac:dyDescent="0.35">
      <c r="A259" s="642" t="s">
        <v>769</v>
      </c>
      <c r="B259" s="854"/>
      <c r="C259" s="642"/>
      <c r="D259" s="738">
        <f>SUM(D257:D258)</f>
        <v>43609.64</v>
      </c>
    </row>
    <row r="260" spans="1:4" x14ac:dyDescent="0.35">
      <c r="A260" s="682"/>
      <c r="B260" s="853"/>
      <c r="C260" s="682"/>
      <c r="D260" s="675"/>
    </row>
    <row r="261" spans="1:4" x14ac:dyDescent="0.35">
      <c r="A261" s="642" t="s">
        <v>753</v>
      </c>
      <c r="B261" s="854">
        <v>44530</v>
      </c>
      <c r="C261" s="642" t="s">
        <v>713</v>
      </c>
      <c r="D261" s="738">
        <v>608</v>
      </c>
    </row>
    <row r="262" spans="1:4" x14ac:dyDescent="0.35">
      <c r="A262" s="642" t="s">
        <v>753</v>
      </c>
      <c r="B262" s="854">
        <v>44530</v>
      </c>
      <c r="C262" s="642" t="s">
        <v>714</v>
      </c>
      <c r="D262" s="738">
        <v>34169.599999999999</v>
      </c>
    </row>
    <row r="263" spans="1:4" x14ac:dyDescent="0.35">
      <c r="A263" s="642" t="s">
        <v>753</v>
      </c>
      <c r="B263" s="854">
        <v>44530</v>
      </c>
      <c r="C263" s="642" t="s">
        <v>707</v>
      </c>
      <c r="D263" s="738">
        <v>219186</v>
      </c>
    </row>
    <row r="264" spans="1:4" x14ac:dyDescent="0.35">
      <c r="A264" s="642" t="s">
        <v>769</v>
      </c>
      <c r="B264" s="854"/>
      <c r="C264" s="642"/>
      <c r="D264" s="738">
        <f>SUM(D261:D263)</f>
        <v>253963.6</v>
      </c>
    </row>
    <row r="265" spans="1:4" x14ac:dyDescent="0.35">
      <c r="A265" s="682"/>
      <c r="B265" s="853"/>
      <c r="C265" s="682"/>
      <c r="D265" s="675"/>
    </row>
    <row r="266" spans="1:4" x14ac:dyDescent="0.35">
      <c r="A266" s="642" t="s">
        <v>754</v>
      </c>
      <c r="B266" s="854">
        <v>44530</v>
      </c>
      <c r="C266" s="642" t="s">
        <v>713</v>
      </c>
      <c r="D266" s="738">
        <v>19515</v>
      </c>
    </row>
    <row r="267" spans="1:4" x14ac:dyDescent="0.35">
      <c r="A267" s="642" t="s">
        <v>754</v>
      </c>
      <c r="B267" s="854">
        <v>44530</v>
      </c>
      <c r="C267" s="642" t="s">
        <v>719</v>
      </c>
      <c r="D267" s="738">
        <v>6536.39</v>
      </c>
    </row>
    <row r="268" spans="1:4" x14ac:dyDescent="0.35">
      <c r="A268" s="642" t="s">
        <v>754</v>
      </c>
      <c r="B268" s="854">
        <v>44530</v>
      </c>
      <c r="C268" s="642" t="s">
        <v>707</v>
      </c>
      <c r="D268" s="738">
        <v>2875744</v>
      </c>
    </row>
    <row r="269" spans="1:4" x14ac:dyDescent="0.35">
      <c r="A269" s="642" t="s">
        <v>754</v>
      </c>
      <c r="B269" s="854">
        <v>44530</v>
      </c>
      <c r="C269" s="642" t="s">
        <v>722</v>
      </c>
      <c r="D269" s="738">
        <v>-36695.08</v>
      </c>
    </row>
    <row r="270" spans="1:4" x14ac:dyDescent="0.35">
      <c r="A270" s="642" t="s">
        <v>754</v>
      </c>
      <c r="B270" s="854">
        <v>44530</v>
      </c>
      <c r="C270" s="642" t="s">
        <v>714</v>
      </c>
      <c r="D270" s="738">
        <v>709401.59999999998</v>
      </c>
    </row>
    <row r="271" spans="1:4" x14ac:dyDescent="0.35">
      <c r="A271" s="642" t="s">
        <v>754</v>
      </c>
      <c r="B271" s="854">
        <v>44530</v>
      </c>
      <c r="C271" s="642" t="s">
        <v>709</v>
      </c>
      <c r="D271" s="738">
        <v>2689140.4</v>
      </c>
    </row>
    <row r="272" spans="1:4" x14ac:dyDescent="0.35">
      <c r="A272" s="642" t="s">
        <v>754</v>
      </c>
      <c r="B272" s="854">
        <v>44530</v>
      </c>
      <c r="C272" s="642" t="s">
        <v>712</v>
      </c>
      <c r="D272" s="738">
        <v>3710.6</v>
      </c>
    </row>
    <row r="273" spans="1:4" x14ac:dyDescent="0.35">
      <c r="A273" s="642" t="s">
        <v>769</v>
      </c>
      <c r="B273" s="854"/>
      <c r="C273" s="642"/>
      <c r="D273" s="738">
        <f>SUM(D266:D272)</f>
        <v>6267352.9100000001</v>
      </c>
    </row>
    <row r="274" spans="1:4" x14ac:dyDescent="0.35">
      <c r="A274" s="682"/>
      <c r="B274" s="853"/>
      <c r="C274" s="682"/>
      <c r="D274" s="675"/>
    </row>
    <row r="275" spans="1:4" x14ac:dyDescent="0.35">
      <c r="A275" s="642" t="s">
        <v>755</v>
      </c>
      <c r="B275" s="854">
        <v>44530</v>
      </c>
      <c r="C275" s="642" t="s">
        <v>709</v>
      </c>
      <c r="D275" s="738">
        <v>15122.46</v>
      </c>
    </row>
    <row r="276" spans="1:4" x14ac:dyDescent="0.35">
      <c r="A276" s="642" t="s">
        <v>755</v>
      </c>
      <c r="B276" s="854">
        <v>44530</v>
      </c>
      <c r="C276" s="642" t="s">
        <v>713</v>
      </c>
      <c r="D276" s="738">
        <v>27868</v>
      </c>
    </row>
    <row r="277" spans="1:4" x14ac:dyDescent="0.35">
      <c r="A277" s="642" t="s">
        <v>755</v>
      </c>
      <c r="B277" s="854">
        <v>44530</v>
      </c>
      <c r="C277" s="642" t="s">
        <v>714</v>
      </c>
      <c r="D277" s="738">
        <v>499722.2</v>
      </c>
    </row>
    <row r="278" spans="1:4" x14ac:dyDescent="0.35">
      <c r="A278" s="642" t="s">
        <v>755</v>
      </c>
      <c r="B278" s="854">
        <v>44530</v>
      </c>
      <c r="C278" s="642" t="s">
        <v>707</v>
      </c>
      <c r="D278" s="738">
        <v>2416481</v>
      </c>
    </row>
    <row r="279" spans="1:4" x14ac:dyDescent="0.35">
      <c r="A279" s="642" t="s">
        <v>755</v>
      </c>
      <c r="B279" s="854">
        <v>44530</v>
      </c>
      <c r="C279" s="642" t="s">
        <v>712</v>
      </c>
      <c r="D279" s="738">
        <v>107.2</v>
      </c>
    </row>
    <row r="280" spans="1:4" x14ac:dyDescent="0.35">
      <c r="A280" s="642" t="s">
        <v>769</v>
      </c>
      <c r="B280" s="854"/>
      <c r="C280" s="642"/>
      <c r="D280" s="738">
        <f>SUM(D275:D279)</f>
        <v>2959300.8600000003</v>
      </c>
    </row>
    <row r="281" spans="1:4" x14ac:dyDescent="0.35">
      <c r="A281" s="682"/>
      <c r="B281" s="853"/>
      <c r="C281" s="682"/>
      <c r="D281" s="675"/>
    </row>
    <row r="282" spans="1:4" x14ac:dyDescent="0.35">
      <c r="A282" s="642" t="s">
        <v>756</v>
      </c>
      <c r="B282" s="854">
        <v>44530</v>
      </c>
      <c r="C282" s="642" t="s">
        <v>714</v>
      </c>
      <c r="D282" s="738">
        <v>2316</v>
      </c>
    </row>
    <row r="283" spans="1:4" x14ac:dyDescent="0.35">
      <c r="A283" s="642" t="s">
        <v>756</v>
      </c>
      <c r="B283" s="854">
        <v>44530</v>
      </c>
      <c r="C283" s="642" t="s">
        <v>709</v>
      </c>
      <c r="D283" s="738">
        <v>60094.57</v>
      </c>
    </row>
    <row r="284" spans="1:4" x14ac:dyDescent="0.35">
      <c r="A284" s="642" t="s">
        <v>769</v>
      </c>
      <c r="B284" s="854"/>
      <c r="C284" s="642"/>
      <c r="D284" s="738">
        <f>SUM(D282:D283)</f>
        <v>62410.57</v>
      </c>
    </row>
    <row r="285" spans="1:4" x14ac:dyDescent="0.35">
      <c r="A285" s="682"/>
      <c r="B285" s="853"/>
      <c r="C285" s="682"/>
      <c r="D285" s="675"/>
    </row>
    <row r="286" spans="1:4" x14ac:dyDescent="0.35">
      <c r="A286" s="642" t="s">
        <v>757</v>
      </c>
      <c r="B286" s="854">
        <v>44530</v>
      </c>
      <c r="C286" s="642" t="s">
        <v>707</v>
      </c>
      <c r="D286" s="738">
        <v>64040</v>
      </c>
    </row>
    <row r="287" spans="1:4" x14ac:dyDescent="0.35">
      <c r="A287" s="642" t="s">
        <v>757</v>
      </c>
      <c r="B287" s="854">
        <v>44530</v>
      </c>
      <c r="C287" s="642" t="s">
        <v>713</v>
      </c>
      <c r="D287" s="738">
        <v>365</v>
      </c>
    </row>
    <row r="288" spans="1:4" x14ac:dyDescent="0.35">
      <c r="A288" s="642" t="s">
        <v>757</v>
      </c>
      <c r="B288" s="854">
        <v>44530</v>
      </c>
      <c r="C288" s="642" t="s">
        <v>709</v>
      </c>
      <c r="D288" s="738">
        <v>7190.1</v>
      </c>
    </row>
    <row r="289" spans="1:5" x14ac:dyDescent="0.35">
      <c r="A289" s="642" t="s">
        <v>757</v>
      </c>
      <c r="B289" s="854">
        <v>44530</v>
      </c>
      <c r="C289" s="642" t="s">
        <v>714</v>
      </c>
      <c r="D289" s="738">
        <v>10720.7</v>
      </c>
    </row>
    <row r="290" spans="1:5" x14ac:dyDescent="0.35">
      <c r="A290" s="642" t="s">
        <v>769</v>
      </c>
      <c r="B290" s="854"/>
      <c r="C290" s="642"/>
      <c r="D290" s="738">
        <f>SUM(D286:D289)</f>
        <v>82315.8</v>
      </c>
    </row>
    <row r="291" spans="1:5" x14ac:dyDescent="0.35">
      <c r="A291" s="642"/>
      <c r="B291" s="854"/>
      <c r="C291" s="642"/>
      <c r="D291" s="738"/>
    </row>
    <row r="292" spans="1:5" x14ac:dyDescent="0.35">
      <c r="A292" s="642" t="s">
        <v>758</v>
      </c>
      <c r="B292" s="854">
        <v>44530</v>
      </c>
      <c r="C292" s="642" t="s">
        <v>709</v>
      </c>
      <c r="D292" s="738">
        <v>59853.63</v>
      </c>
      <c r="E292" s="642"/>
    </row>
    <row r="293" spans="1:5" x14ac:dyDescent="0.35">
      <c r="A293" s="642" t="s">
        <v>769</v>
      </c>
      <c r="B293" s="854"/>
      <c r="C293" s="642"/>
      <c r="D293" s="738">
        <f>SUM(D292)</f>
        <v>59853.63</v>
      </c>
      <c r="E293" s="642"/>
    </row>
    <row r="294" spans="1:5" x14ac:dyDescent="0.35">
      <c r="A294" s="682"/>
      <c r="B294" s="853"/>
      <c r="C294" s="682"/>
      <c r="D294" s="675"/>
    </row>
    <row r="295" spans="1:5" x14ac:dyDescent="0.35">
      <c r="A295" s="642" t="s">
        <v>759</v>
      </c>
      <c r="B295" s="854">
        <v>44530</v>
      </c>
      <c r="C295" s="642" t="s">
        <v>713</v>
      </c>
      <c r="D295" s="738">
        <v>48432.5</v>
      </c>
    </row>
    <row r="296" spans="1:5" x14ac:dyDescent="0.35">
      <c r="A296" s="642" t="s">
        <v>759</v>
      </c>
      <c r="B296" s="854">
        <v>44530</v>
      </c>
      <c r="C296" s="642" t="s">
        <v>719</v>
      </c>
      <c r="D296" s="738">
        <v>16365.3</v>
      </c>
    </row>
    <row r="297" spans="1:5" x14ac:dyDescent="0.35">
      <c r="A297" s="642" t="s">
        <v>759</v>
      </c>
      <c r="B297" s="854">
        <v>44530</v>
      </c>
      <c r="C297" s="642" t="s">
        <v>712</v>
      </c>
      <c r="D297" s="738">
        <v>4900</v>
      </c>
    </row>
    <row r="298" spans="1:5" x14ac:dyDescent="0.35">
      <c r="A298" s="642" t="s">
        <v>759</v>
      </c>
      <c r="B298" s="854">
        <v>44530</v>
      </c>
      <c r="C298" s="642" t="s">
        <v>709</v>
      </c>
      <c r="D298" s="738">
        <v>276563.21999999997</v>
      </c>
    </row>
    <row r="299" spans="1:5" x14ac:dyDescent="0.35">
      <c r="A299" s="642" t="s">
        <v>759</v>
      </c>
      <c r="B299" s="854">
        <v>44530</v>
      </c>
      <c r="C299" s="642" t="s">
        <v>714</v>
      </c>
      <c r="D299" s="738">
        <v>1336732.8999999999</v>
      </c>
    </row>
    <row r="300" spans="1:5" x14ac:dyDescent="0.35">
      <c r="A300" s="642" t="s">
        <v>759</v>
      </c>
      <c r="B300" s="854">
        <v>44530</v>
      </c>
      <c r="C300" s="642" t="s">
        <v>707</v>
      </c>
      <c r="D300" s="738">
        <v>4304007</v>
      </c>
    </row>
    <row r="301" spans="1:5" x14ac:dyDescent="0.35">
      <c r="A301" s="642" t="s">
        <v>769</v>
      </c>
      <c r="B301" s="854"/>
      <c r="C301" s="642"/>
      <c r="D301" s="738">
        <f>SUM(D295:D300)</f>
        <v>5987000.9199999999</v>
      </c>
    </row>
    <row r="302" spans="1:5" x14ac:dyDescent="0.35">
      <c r="A302" s="682"/>
      <c r="B302" s="853"/>
      <c r="C302" s="682"/>
      <c r="D302" s="675"/>
    </row>
    <row r="303" spans="1:5" x14ac:dyDescent="0.35">
      <c r="A303" s="642" t="s">
        <v>761</v>
      </c>
      <c r="B303" s="854">
        <v>44530</v>
      </c>
      <c r="C303" s="642" t="s">
        <v>707</v>
      </c>
      <c r="D303" s="738">
        <v>8749</v>
      </c>
    </row>
    <row r="304" spans="1:5" x14ac:dyDescent="0.35">
      <c r="A304" s="642" t="s">
        <v>769</v>
      </c>
      <c r="B304" s="854"/>
      <c r="C304" s="642"/>
      <c r="D304" s="738">
        <f>SUM(D303)</f>
        <v>8749</v>
      </c>
    </row>
    <row r="305" spans="1:4" x14ac:dyDescent="0.35">
      <c r="A305" s="682"/>
      <c r="B305" s="853"/>
      <c r="C305" s="682"/>
      <c r="D305" s="675"/>
    </row>
    <row r="306" spans="1:4" x14ac:dyDescent="0.35">
      <c r="A306" s="642" t="s">
        <v>762</v>
      </c>
      <c r="B306" s="854">
        <v>44530</v>
      </c>
      <c r="C306" s="642" t="s">
        <v>707</v>
      </c>
      <c r="D306" s="738">
        <v>7752</v>
      </c>
    </row>
    <row r="307" spans="1:4" x14ac:dyDescent="0.35">
      <c r="A307" s="642" t="s">
        <v>769</v>
      </c>
      <c r="B307" s="854"/>
      <c r="C307" s="642"/>
      <c r="D307" s="738">
        <f>SUM(D306)</f>
        <v>7752</v>
      </c>
    </row>
    <row r="308" spans="1:4" x14ac:dyDescent="0.35">
      <c r="A308" s="682"/>
      <c r="B308" s="853"/>
      <c r="C308" s="682"/>
      <c r="D308" s="675"/>
    </row>
    <row r="309" spans="1:4" x14ac:dyDescent="0.35">
      <c r="A309" s="642" t="s">
        <v>763</v>
      </c>
      <c r="B309" s="854">
        <v>44530</v>
      </c>
      <c r="C309" s="642" t="s">
        <v>770</v>
      </c>
      <c r="D309" s="738">
        <v>0</v>
      </c>
    </row>
    <row r="310" spans="1:4" x14ac:dyDescent="0.35">
      <c r="A310" s="642" t="s">
        <v>763</v>
      </c>
      <c r="B310" s="854">
        <v>44530</v>
      </c>
      <c r="C310" s="642" t="s">
        <v>707</v>
      </c>
      <c r="D310" s="738">
        <v>164185</v>
      </c>
    </row>
    <row r="311" spans="1:4" x14ac:dyDescent="0.35">
      <c r="A311" s="642" t="s">
        <v>763</v>
      </c>
      <c r="B311" s="854">
        <v>44530</v>
      </c>
      <c r="C311" s="642" t="s">
        <v>724</v>
      </c>
      <c r="D311" s="738">
        <v>0</v>
      </c>
    </row>
    <row r="312" spans="1:4" x14ac:dyDescent="0.35">
      <c r="A312" s="642" t="s">
        <v>763</v>
      </c>
      <c r="B312" s="854">
        <v>44530</v>
      </c>
      <c r="C312" s="642" t="s">
        <v>714</v>
      </c>
      <c r="D312" s="738">
        <v>18233</v>
      </c>
    </row>
    <row r="313" spans="1:4" x14ac:dyDescent="0.35">
      <c r="A313" s="642" t="s">
        <v>763</v>
      </c>
      <c r="B313" s="854">
        <v>44530</v>
      </c>
      <c r="C313" s="642" t="s">
        <v>713</v>
      </c>
      <c r="D313" s="738">
        <v>75</v>
      </c>
    </row>
    <row r="314" spans="1:4" x14ac:dyDescent="0.35">
      <c r="A314" s="642" t="s">
        <v>769</v>
      </c>
      <c r="B314" s="854"/>
      <c r="C314" s="642"/>
      <c r="D314" s="738">
        <f>SUM(D309:D313)</f>
        <v>182493</v>
      </c>
    </row>
    <row r="315" spans="1:4" x14ac:dyDescent="0.35">
      <c r="A315" s="682"/>
      <c r="B315" s="853"/>
      <c r="C315" s="682"/>
      <c r="D315" s="675"/>
    </row>
    <row r="316" spans="1:4" x14ac:dyDescent="0.35">
      <c r="A316" s="642" t="s">
        <v>764</v>
      </c>
      <c r="B316" s="854">
        <v>44530</v>
      </c>
      <c r="C316" s="642" t="s">
        <v>714</v>
      </c>
      <c r="D316" s="738">
        <v>2694.5</v>
      </c>
    </row>
    <row r="317" spans="1:4" x14ac:dyDescent="0.35">
      <c r="A317" s="642" t="s">
        <v>764</v>
      </c>
      <c r="B317" s="854">
        <v>44530</v>
      </c>
      <c r="C317" s="642" t="s">
        <v>707</v>
      </c>
      <c r="D317" s="738">
        <v>15894</v>
      </c>
    </row>
    <row r="318" spans="1:4" x14ac:dyDescent="0.35">
      <c r="A318" s="642" t="s">
        <v>764</v>
      </c>
      <c r="B318" s="854">
        <v>44530</v>
      </c>
      <c r="C318" s="642" t="s">
        <v>713</v>
      </c>
      <c r="D318" s="738">
        <v>386.5</v>
      </c>
    </row>
    <row r="319" spans="1:4" x14ac:dyDescent="0.35">
      <c r="A319" s="642" t="s">
        <v>769</v>
      </c>
      <c r="B319" s="854"/>
      <c r="C319" s="642"/>
      <c r="D319" s="738">
        <f>SUM(D316:D318)</f>
        <v>18975</v>
      </c>
    </row>
    <row r="320" spans="1:4" x14ac:dyDescent="0.35">
      <c r="A320" s="642"/>
      <c r="B320" s="854"/>
      <c r="C320" s="642"/>
      <c r="D320" s="738"/>
    </row>
    <row r="321" spans="1:4" x14ac:dyDescent="0.35">
      <c r="A321" s="642" t="s">
        <v>765</v>
      </c>
      <c r="B321" s="854">
        <v>44530</v>
      </c>
      <c r="C321" s="642" t="s">
        <v>719</v>
      </c>
      <c r="D321" s="738">
        <v>10798.2</v>
      </c>
    </row>
    <row r="322" spans="1:4" x14ac:dyDescent="0.35">
      <c r="A322" s="642" t="s">
        <v>765</v>
      </c>
      <c r="B322" s="854">
        <v>44530</v>
      </c>
      <c r="C322" s="642" t="s">
        <v>712</v>
      </c>
      <c r="D322" s="738">
        <v>1447.5</v>
      </c>
    </row>
    <row r="323" spans="1:4" x14ac:dyDescent="0.35">
      <c r="A323" s="642" t="s">
        <v>765</v>
      </c>
      <c r="B323" s="854">
        <v>44530</v>
      </c>
      <c r="C323" s="642" t="s">
        <v>707</v>
      </c>
      <c r="D323" s="738">
        <v>411246</v>
      </c>
    </row>
    <row r="324" spans="1:4" x14ac:dyDescent="0.35">
      <c r="A324" s="642" t="s">
        <v>765</v>
      </c>
      <c r="B324" s="854">
        <v>44530</v>
      </c>
      <c r="C324" s="642" t="s">
        <v>714</v>
      </c>
      <c r="D324" s="738">
        <v>216628.3</v>
      </c>
    </row>
    <row r="325" spans="1:4" x14ac:dyDescent="0.35">
      <c r="A325" s="642" t="s">
        <v>765</v>
      </c>
      <c r="B325" s="854">
        <v>44530</v>
      </c>
      <c r="C325" s="642" t="s">
        <v>713</v>
      </c>
      <c r="D325" s="738">
        <v>15915.5</v>
      </c>
    </row>
    <row r="326" spans="1:4" x14ac:dyDescent="0.35">
      <c r="A326" s="642" t="s">
        <v>765</v>
      </c>
      <c r="B326" s="854">
        <v>44530</v>
      </c>
      <c r="C326" s="642" t="s">
        <v>709</v>
      </c>
      <c r="D326" s="738">
        <v>56299.34</v>
      </c>
    </row>
    <row r="327" spans="1:4" x14ac:dyDescent="0.35">
      <c r="A327" s="642" t="s">
        <v>769</v>
      </c>
      <c r="B327" s="854"/>
      <c r="C327" s="642"/>
      <c r="D327" s="738">
        <f>SUM(D321:D326)</f>
        <v>712334.84</v>
      </c>
    </row>
    <row r="328" spans="1:4" x14ac:dyDescent="0.35">
      <c r="A328" s="682"/>
      <c r="B328" s="853"/>
      <c r="C328" s="682"/>
      <c r="D328" s="675"/>
    </row>
    <row r="329" spans="1:4" x14ac:dyDescent="0.35">
      <c r="A329" s="642" t="s">
        <v>766</v>
      </c>
      <c r="B329" s="854">
        <v>44530</v>
      </c>
      <c r="C329" s="642" t="s">
        <v>707</v>
      </c>
      <c r="D329" s="738">
        <v>357766</v>
      </c>
    </row>
    <row r="330" spans="1:4" x14ac:dyDescent="0.35">
      <c r="A330" s="642" t="s">
        <v>766</v>
      </c>
      <c r="B330" s="854">
        <v>44530</v>
      </c>
      <c r="C330" s="642" t="s">
        <v>713</v>
      </c>
      <c r="D330" s="738">
        <v>2641</v>
      </c>
    </row>
    <row r="331" spans="1:4" x14ac:dyDescent="0.35">
      <c r="A331" s="642" t="s">
        <v>766</v>
      </c>
      <c r="B331" s="854">
        <v>44530</v>
      </c>
      <c r="C331" s="642" t="s">
        <v>714</v>
      </c>
      <c r="D331" s="738">
        <v>87383.6</v>
      </c>
    </row>
    <row r="332" spans="1:4" x14ac:dyDescent="0.35">
      <c r="A332" s="642" t="s">
        <v>766</v>
      </c>
      <c r="B332" s="854">
        <v>44530</v>
      </c>
      <c r="C332" s="642" t="s">
        <v>712</v>
      </c>
      <c r="D332" s="738">
        <v>124</v>
      </c>
    </row>
    <row r="333" spans="1:4" x14ac:dyDescent="0.35">
      <c r="A333" s="642" t="s">
        <v>766</v>
      </c>
      <c r="B333" s="854">
        <v>44530</v>
      </c>
      <c r="C333" s="642" t="s">
        <v>709</v>
      </c>
      <c r="D333" s="738">
        <v>11752.21</v>
      </c>
    </row>
    <row r="334" spans="1:4" x14ac:dyDescent="0.35">
      <c r="A334" s="642" t="s">
        <v>769</v>
      </c>
      <c r="B334" s="854"/>
      <c r="C334" s="642"/>
      <c r="D334" s="738">
        <f>SUM(D329:D333)</f>
        <v>459666.81</v>
      </c>
    </row>
    <row r="335" spans="1:4" x14ac:dyDescent="0.35">
      <c r="A335" s="682"/>
      <c r="B335" s="853"/>
      <c r="C335" s="682"/>
      <c r="D335" s="675"/>
    </row>
    <row r="336" spans="1:4" x14ac:dyDescent="0.35">
      <c r="A336" s="682" t="s">
        <v>767</v>
      </c>
      <c r="B336" s="853">
        <v>44530</v>
      </c>
      <c r="C336" s="682" t="s">
        <v>709</v>
      </c>
      <c r="D336" s="675">
        <v>18015</v>
      </c>
    </row>
    <row r="337" spans="1:4" x14ac:dyDescent="0.35">
      <c r="A337" s="642" t="s">
        <v>767</v>
      </c>
      <c r="B337" s="854">
        <v>44530</v>
      </c>
      <c r="C337" s="642" t="s">
        <v>707</v>
      </c>
      <c r="D337" s="738">
        <v>21858</v>
      </c>
    </row>
    <row r="338" spans="1:4" x14ac:dyDescent="0.35">
      <c r="A338" s="642" t="s">
        <v>769</v>
      </c>
      <c r="B338" s="854"/>
      <c r="C338" s="642"/>
      <c r="D338" s="738">
        <f>SUM(D336:D337)</f>
        <v>39873</v>
      </c>
    </row>
    <row r="339" spans="1:4" x14ac:dyDescent="0.35">
      <c r="A339" s="682"/>
      <c r="B339" s="853"/>
      <c r="C339" s="682"/>
      <c r="D339" s="675"/>
    </row>
    <row r="340" spans="1:4" x14ac:dyDescent="0.35">
      <c r="A340" s="642" t="s">
        <v>768</v>
      </c>
      <c r="B340" s="854">
        <v>44530</v>
      </c>
      <c r="C340" s="642" t="s">
        <v>713</v>
      </c>
      <c r="D340" s="738">
        <v>1307</v>
      </c>
    </row>
    <row r="341" spans="1:4" x14ac:dyDescent="0.35">
      <c r="A341" s="642" t="s">
        <v>768</v>
      </c>
      <c r="B341" s="854">
        <v>44530</v>
      </c>
      <c r="C341" s="642" t="s">
        <v>719</v>
      </c>
      <c r="D341" s="738">
        <v>11077.59</v>
      </c>
    </row>
    <row r="342" spans="1:4" x14ac:dyDescent="0.35">
      <c r="A342" s="642" t="s">
        <v>768</v>
      </c>
      <c r="B342" s="854">
        <v>44530</v>
      </c>
      <c r="C342" s="642" t="s">
        <v>714</v>
      </c>
      <c r="D342" s="738">
        <v>98213.8</v>
      </c>
    </row>
    <row r="343" spans="1:4" x14ac:dyDescent="0.35">
      <c r="A343" s="642" t="s">
        <v>768</v>
      </c>
      <c r="B343" s="854">
        <v>44530</v>
      </c>
      <c r="C343" s="642" t="s">
        <v>707</v>
      </c>
      <c r="D343" s="738">
        <v>179308</v>
      </c>
    </row>
    <row r="344" spans="1:4" x14ac:dyDescent="0.35">
      <c r="A344" s="642" t="s">
        <v>768</v>
      </c>
      <c r="B344" s="854">
        <v>44530</v>
      </c>
      <c r="C344" s="642" t="s">
        <v>712</v>
      </c>
      <c r="D344" s="738">
        <v>39.5</v>
      </c>
    </row>
    <row r="345" spans="1:4" x14ac:dyDescent="0.35">
      <c r="A345" s="642" t="s">
        <v>769</v>
      </c>
      <c r="B345" s="854"/>
      <c r="C345" s="642"/>
      <c r="D345" s="738">
        <f>SUM(D340:D344)</f>
        <v>289945.89</v>
      </c>
    </row>
    <row r="346" spans="1:4" x14ac:dyDescent="0.35">
      <c r="A346" s="674" t="s">
        <v>665</v>
      </c>
      <c r="B346" s="674"/>
      <c r="C346" s="674"/>
      <c r="D346" s="674">
        <v>81893707.499999985</v>
      </c>
    </row>
    <row r="347" spans="1:4" x14ac:dyDescent="0.35">
      <c r="A347" s="682"/>
      <c r="B347" s="682"/>
      <c r="C347" s="682"/>
      <c r="D347" s="675"/>
    </row>
  </sheetData>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6944-D355-4836-9B27-B8B43F3366E4}">
  <dimension ref="A1:G335"/>
  <sheetViews>
    <sheetView topLeftCell="A320" workbookViewId="0">
      <selection activeCell="A335" sqref="A2:D335"/>
    </sheetView>
  </sheetViews>
  <sheetFormatPr defaultRowHeight="14.5" x14ac:dyDescent="0.35"/>
  <cols>
    <col min="1" max="1" width="56.81640625" style="538" bestFit="1" customWidth="1"/>
    <col min="2" max="2" width="10.453125" style="538" bestFit="1" customWidth="1"/>
    <col min="3" max="3" width="8.90625" style="538"/>
    <col min="4" max="4" width="22.1796875" style="579" customWidth="1"/>
    <col min="7" max="7" width="13.36328125" bestFit="1" customWidth="1"/>
  </cols>
  <sheetData>
    <row r="1" spans="1:4" x14ac:dyDescent="0.35">
      <c r="A1" s="538" t="s">
        <v>1</v>
      </c>
      <c r="B1" s="538" t="s">
        <v>704</v>
      </c>
      <c r="C1" s="538" t="s">
        <v>705</v>
      </c>
      <c r="D1" s="579" t="s">
        <v>588</v>
      </c>
    </row>
    <row r="2" spans="1:4" x14ac:dyDescent="0.35">
      <c r="A2" s="684" t="s">
        <v>706</v>
      </c>
      <c r="B2" s="719">
        <v>44561</v>
      </c>
      <c r="C2" s="684" t="s">
        <v>707</v>
      </c>
      <c r="D2" s="857">
        <v>8553</v>
      </c>
    </row>
    <row r="3" spans="1:4" s="682" customFormat="1" x14ac:dyDescent="0.35">
      <c r="A3" s="684" t="s">
        <v>769</v>
      </c>
      <c r="B3" s="719"/>
      <c r="C3" s="684"/>
      <c r="D3" s="857">
        <f>SUM(D2)</f>
        <v>8553</v>
      </c>
    </row>
    <row r="4" spans="1:4" s="682" customFormat="1" x14ac:dyDescent="0.35">
      <c r="A4" s="684"/>
      <c r="B4" s="719"/>
      <c r="C4" s="684"/>
      <c r="D4" s="857"/>
    </row>
    <row r="5" spans="1:4" x14ac:dyDescent="0.35">
      <c r="A5" s="684" t="s">
        <v>708</v>
      </c>
      <c r="B5" s="719">
        <v>44561</v>
      </c>
      <c r="C5" s="684" t="s">
        <v>719</v>
      </c>
      <c r="D5" s="857">
        <v>56253.87</v>
      </c>
    </row>
    <row r="6" spans="1:4" s="682" customFormat="1" x14ac:dyDescent="0.35">
      <c r="A6" s="684" t="s">
        <v>769</v>
      </c>
      <c r="B6" s="719"/>
      <c r="C6" s="684"/>
      <c r="D6" s="857">
        <f>SUM(D5)</f>
        <v>56253.87</v>
      </c>
    </row>
    <row r="7" spans="1:4" s="682" customFormat="1" x14ac:dyDescent="0.35">
      <c r="A7" s="684"/>
      <c r="B7" s="719"/>
      <c r="C7" s="684"/>
      <c r="D7" s="857"/>
    </row>
    <row r="8" spans="1:4" x14ac:dyDescent="0.35">
      <c r="A8" s="684" t="s">
        <v>711</v>
      </c>
      <c r="B8" s="719">
        <v>44561</v>
      </c>
      <c r="C8" s="684" t="s">
        <v>713</v>
      </c>
      <c r="D8" s="857">
        <v>52977.5</v>
      </c>
    </row>
    <row r="9" spans="1:4" x14ac:dyDescent="0.35">
      <c r="A9" s="684" t="s">
        <v>711</v>
      </c>
      <c r="B9" s="719">
        <v>44561</v>
      </c>
      <c r="C9" s="684" t="s">
        <v>709</v>
      </c>
      <c r="D9" s="857">
        <v>12141.09</v>
      </c>
    </row>
    <row r="10" spans="1:4" x14ac:dyDescent="0.35">
      <c r="A10" s="684" t="s">
        <v>711</v>
      </c>
      <c r="B10" s="719">
        <v>44561</v>
      </c>
      <c r="C10" s="684" t="s">
        <v>712</v>
      </c>
      <c r="D10" s="857">
        <v>6127.4</v>
      </c>
    </row>
    <row r="11" spans="1:4" x14ac:dyDescent="0.35">
      <c r="A11" s="684" t="s">
        <v>711</v>
      </c>
      <c r="B11" s="719">
        <v>44561</v>
      </c>
      <c r="C11" s="684" t="s">
        <v>714</v>
      </c>
      <c r="D11" s="857">
        <v>2026909.9</v>
      </c>
    </row>
    <row r="12" spans="1:4" x14ac:dyDescent="0.35">
      <c r="A12" s="684" t="s">
        <v>711</v>
      </c>
      <c r="B12" s="719">
        <v>44561</v>
      </c>
      <c r="C12" s="684" t="s">
        <v>707</v>
      </c>
      <c r="D12" s="857">
        <v>7645416</v>
      </c>
    </row>
    <row r="13" spans="1:4" s="682" customFormat="1" x14ac:dyDescent="0.35">
      <c r="A13" s="684" t="s">
        <v>769</v>
      </c>
      <c r="B13" s="719"/>
      <c r="C13" s="684"/>
      <c r="D13" s="857">
        <f>SUM(D8:D12)</f>
        <v>9743571.8900000006</v>
      </c>
    </row>
    <row r="14" spans="1:4" s="682" customFormat="1" x14ac:dyDescent="0.35">
      <c r="A14" s="684"/>
      <c r="B14" s="719"/>
      <c r="C14" s="684"/>
      <c r="D14" s="857"/>
    </row>
    <row r="15" spans="1:4" x14ac:dyDescent="0.35">
      <c r="A15" s="684" t="s">
        <v>715</v>
      </c>
      <c r="B15" s="719">
        <v>44561</v>
      </c>
      <c r="C15" s="684" t="s">
        <v>712</v>
      </c>
      <c r="D15" s="857">
        <v>359</v>
      </c>
    </row>
    <row r="16" spans="1:4" x14ac:dyDescent="0.35">
      <c r="A16" s="684" t="s">
        <v>715</v>
      </c>
      <c r="B16" s="719">
        <v>44561</v>
      </c>
      <c r="C16" s="684" t="s">
        <v>709</v>
      </c>
      <c r="D16" s="857">
        <v>300328.74</v>
      </c>
    </row>
    <row r="17" spans="1:4" x14ac:dyDescent="0.35">
      <c r="A17" s="684" t="s">
        <v>715</v>
      </c>
      <c r="B17" s="719">
        <v>44561</v>
      </c>
      <c r="C17" s="684" t="s">
        <v>713</v>
      </c>
      <c r="D17" s="857">
        <v>2375</v>
      </c>
    </row>
    <row r="18" spans="1:4" x14ac:dyDescent="0.35">
      <c r="A18" s="684" t="s">
        <v>715</v>
      </c>
      <c r="B18" s="719">
        <v>44561</v>
      </c>
      <c r="C18" s="684" t="s">
        <v>707</v>
      </c>
      <c r="D18" s="857">
        <v>556937</v>
      </c>
    </row>
    <row r="19" spans="1:4" x14ac:dyDescent="0.35">
      <c r="A19" s="684" t="s">
        <v>715</v>
      </c>
      <c r="B19" s="719">
        <v>44561</v>
      </c>
      <c r="C19" s="684" t="s">
        <v>714</v>
      </c>
      <c r="D19" s="857">
        <v>180193.7</v>
      </c>
    </row>
    <row r="20" spans="1:4" s="682" customFormat="1" x14ac:dyDescent="0.35">
      <c r="A20" s="684" t="s">
        <v>769</v>
      </c>
      <c r="B20" s="719"/>
      <c r="C20" s="684"/>
      <c r="D20" s="857">
        <f>SUM(D15:D19)</f>
        <v>1040193.44</v>
      </c>
    </row>
    <row r="21" spans="1:4" s="682" customFormat="1" x14ac:dyDescent="0.35">
      <c r="A21" s="684"/>
      <c r="B21" s="719"/>
      <c r="C21" s="684"/>
      <c r="D21" s="857"/>
    </row>
    <row r="22" spans="1:4" x14ac:dyDescent="0.35">
      <c r="A22" s="684" t="s">
        <v>716</v>
      </c>
      <c r="B22" s="719">
        <v>44561</v>
      </c>
      <c r="C22" s="684" t="s">
        <v>707</v>
      </c>
      <c r="D22" s="857">
        <v>547364</v>
      </c>
    </row>
    <row r="23" spans="1:4" x14ac:dyDescent="0.35">
      <c r="A23" s="684" t="s">
        <v>716</v>
      </c>
      <c r="B23" s="719">
        <v>44561</v>
      </c>
      <c r="C23" s="684" t="s">
        <v>709</v>
      </c>
      <c r="D23" s="857">
        <v>10077.14</v>
      </c>
    </row>
    <row r="24" spans="1:4" x14ac:dyDescent="0.35">
      <c r="A24" s="684" t="s">
        <v>716</v>
      </c>
      <c r="B24" s="719">
        <v>44561</v>
      </c>
      <c r="C24" s="684" t="s">
        <v>713</v>
      </c>
      <c r="D24" s="857">
        <v>1390.5</v>
      </c>
    </row>
    <row r="25" spans="1:4" x14ac:dyDescent="0.35">
      <c r="A25" s="684" t="s">
        <v>716</v>
      </c>
      <c r="B25" s="719">
        <v>44561</v>
      </c>
      <c r="C25" s="684" t="s">
        <v>714</v>
      </c>
      <c r="D25" s="857">
        <v>127502.1</v>
      </c>
    </row>
    <row r="26" spans="1:4" s="682" customFormat="1" x14ac:dyDescent="0.35">
      <c r="A26" s="684" t="s">
        <v>769</v>
      </c>
      <c r="B26" s="719"/>
      <c r="C26" s="684"/>
      <c r="D26" s="857">
        <f>SUM(D21:D25)</f>
        <v>686333.74</v>
      </c>
    </row>
    <row r="27" spans="1:4" s="682" customFormat="1" x14ac:dyDescent="0.35">
      <c r="A27" s="684"/>
      <c r="B27" s="719"/>
      <c r="C27" s="684"/>
      <c r="D27" s="857"/>
    </row>
    <row r="28" spans="1:4" x14ac:dyDescent="0.35">
      <c r="A28" s="684" t="s">
        <v>717</v>
      </c>
      <c r="B28" s="719">
        <v>44561</v>
      </c>
      <c r="C28" s="684" t="s">
        <v>707</v>
      </c>
      <c r="D28" s="857">
        <v>5598153</v>
      </c>
    </row>
    <row r="29" spans="1:4" x14ac:dyDescent="0.35">
      <c r="A29" s="684" t="s">
        <v>717</v>
      </c>
      <c r="B29" s="719">
        <v>44561</v>
      </c>
      <c r="C29" s="684" t="s">
        <v>709</v>
      </c>
      <c r="D29" s="857">
        <v>377951.74</v>
      </c>
    </row>
    <row r="30" spans="1:4" x14ac:dyDescent="0.35">
      <c r="A30" s="684" t="s">
        <v>717</v>
      </c>
      <c r="B30" s="719">
        <v>44561</v>
      </c>
      <c r="C30" s="684" t="s">
        <v>714</v>
      </c>
      <c r="D30" s="857">
        <v>1042567</v>
      </c>
    </row>
    <row r="31" spans="1:4" x14ac:dyDescent="0.35">
      <c r="A31" s="684" t="s">
        <v>717</v>
      </c>
      <c r="B31" s="719">
        <v>44561</v>
      </c>
      <c r="C31" s="684" t="s">
        <v>713</v>
      </c>
      <c r="D31" s="857">
        <v>31057.5</v>
      </c>
    </row>
    <row r="32" spans="1:4" x14ac:dyDescent="0.35">
      <c r="A32" s="684" t="s">
        <v>717</v>
      </c>
      <c r="B32" s="719">
        <v>44561</v>
      </c>
      <c r="C32" s="684" t="s">
        <v>712</v>
      </c>
      <c r="D32" s="857">
        <v>1010</v>
      </c>
    </row>
    <row r="33" spans="1:4" x14ac:dyDescent="0.35">
      <c r="A33" s="684" t="s">
        <v>717</v>
      </c>
      <c r="B33" s="719">
        <v>44561</v>
      </c>
      <c r="C33" s="684" t="s">
        <v>724</v>
      </c>
      <c r="D33" s="857">
        <v>0</v>
      </c>
    </row>
    <row r="34" spans="1:4" s="682" customFormat="1" x14ac:dyDescent="0.35">
      <c r="A34" s="684" t="s">
        <v>769</v>
      </c>
      <c r="B34" s="719"/>
      <c r="C34" s="684"/>
      <c r="D34" s="857">
        <f>SUM(D28:D33)</f>
        <v>7050739.2400000002</v>
      </c>
    </row>
    <row r="35" spans="1:4" s="682" customFormat="1" x14ac:dyDescent="0.35">
      <c r="A35" s="684"/>
      <c r="B35" s="719"/>
      <c r="C35" s="684"/>
      <c r="D35" s="857"/>
    </row>
    <row r="36" spans="1:4" x14ac:dyDescent="0.35">
      <c r="A36" s="684" t="s">
        <v>720</v>
      </c>
      <c r="B36" s="719">
        <v>44561</v>
      </c>
      <c r="C36" s="684" t="s">
        <v>707</v>
      </c>
      <c r="D36" s="857">
        <v>169945</v>
      </c>
    </row>
    <row r="37" spans="1:4" x14ac:dyDescent="0.35">
      <c r="A37" s="684" t="s">
        <v>720</v>
      </c>
      <c r="B37" s="719">
        <v>44561</v>
      </c>
      <c r="C37" s="684" t="s">
        <v>712</v>
      </c>
      <c r="D37" s="857">
        <v>43</v>
      </c>
    </row>
    <row r="38" spans="1:4" x14ac:dyDescent="0.35">
      <c r="A38" s="684" t="s">
        <v>720</v>
      </c>
      <c r="B38" s="719">
        <v>44561</v>
      </c>
      <c r="C38" s="684" t="s">
        <v>714</v>
      </c>
      <c r="D38" s="857">
        <v>60478.9</v>
      </c>
    </row>
    <row r="39" spans="1:4" x14ac:dyDescent="0.35">
      <c r="A39" s="684" t="s">
        <v>720</v>
      </c>
      <c r="B39" s="719">
        <v>44561</v>
      </c>
      <c r="C39" s="684" t="s">
        <v>709</v>
      </c>
      <c r="D39" s="857">
        <v>248535.32</v>
      </c>
    </row>
    <row r="40" spans="1:4" x14ac:dyDescent="0.35">
      <c r="A40" s="684" t="s">
        <v>720</v>
      </c>
      <c r="B40" s="719">
        <v>44561</v>
      </c>
      <c r="C40" s="684" t="s">
        <v>713</v>
      </c>
      <c r="D40" s="857">
        <v>2981.5</v>
      </c>
    </row>
    <row r="41" spans="1:4" s="682" customFormat="1" x14ac:dyDescent="0.35">
      <c r="A41" s="684" t="s">
        <v>769</v>
      </c>
      <c r="B41" s="719"/>
      <c r="C41" s="684"/>
      <c r="D41" s="857">
        <f>SUM(D36:D40)</f>
        <v>481983.72</v>
      </c>
    </row>
    <row r="42" spans="1:4" s="682" customFormat="1" x14ac:dyDescent="0.35">
      <c r="A42" s="684"/>
      <c r="B42" s="719"/>
      <c r="C42" s="684"/>
      <c r="D42" s="857"/>
    </row>
    <row r="43" spans="1:4" x14ac:dyDescent="0.35">
      <c r="A43" s="684" t="s">
        <v>721</v>
      </c>
      <c r="B43" s="719">
        <v>44561</v>
      </c>
      <c r="C43" s="684" t="s">
        <v>707</v>
      </c>
      <c r="D43" s="857">
        <v>0</v>
      </c>
    </row>
    <row r="44" spans="1:4" x14ac:dyDescent="0.35">
      <c r="A44" s="684" t="s">
        <v>721</v>
      </c>
      <c r="B44" s="719">
        <v>44561</v>
      </c>
      <c r="C44" s="684" t="s">
        <v>714</v>
      </c>
      <c r="D44" s="857">
        <v>280063.15000000002</v>
      </c>
    </row>
    <row r="45" spans="1:4" x14ac:dyDescent="0.35">
      <c r="A45" s="684" t="s">
        <v>721</v>
      </c>
      <c r="B45" s="719">
        <v>44561</v>
      </c>
      <c r="C45" s="684" t="s">
        <v>713</v>
      </c>
      <c r="D45" s="857">
        <v>8497</v>
      </c>
    </row>
    <row r="46" spans="1:4" x14ac:dyDescent="0.35">
      <c r="A46" s="684" t="s">
        <v>721</v>
      </c>
      <c r="B46" s="719">
        <v>44561</v>
      </c>
      <c r="C46" s="684" t="s">
        <v>712</v>
      </c>
      <c r="D46" s="857">
        <v>691.69</v>
      </c>
    </row>
    <row r="47" spans="1:4" x14ac:dyDescent="0.35">
      <c r="A47" s="684" t="s">
        <v>721</v>
      </c>
      <c r="B47" s="719">
        <v>44561</v>
      </c>
      <c r="C47" s="684" t="s">
        <v>709</v>
      </c>
      <c r="D47" s="857">
        <v>0</v>
      </c>
    </row>
    <row r="48" spans="1:4" s="682" customFormat="1" x14ac:dyDescent="0.35">
      <c r="A48" s="684" t="s">
        <v>769</v>
      </c>
      <c r="B48" s="719"/>
      <c r="C48" s="684"/>
      <c r="D48" s="857">
        <f>SUM(D43:D47)</f>
        <v>289251.84000000003</v>
      </c>
    </row>
    <row r="49" spans="1:4" s="682" customFormat="1" x14ac:dyDescent="0.35">
      <c r="A49" s="684"/>
      <c r="B49" s="719"/>
      <c r="C49" s="684"/>
      <c r="D49" s="857"/>
    </row>
    <row r="50" spans="1:4" x14ac:dyDescent="0.35">
      <c r="A50" s="684" t="s">
        <v>723</v>
      </c>
      <c r="B50" s="719">
        <v>44561</v>
      </c>
      <c r="C50" s="684" t="s">
        <v>712</v>
      </c>
      <c r="D50" s="857">
        <v>5650.4</v>
      </c>
    </row>
    <row r="51" spans="1:4" x14ac:dyDescent="0.35">
      <c r="A51" s="684" t="s">
        <v>723</v>
      </c>
      <c r="B51" s="719">
        <v>44561</v>
      </c>
      <c r="C51" s="684" t="s">
        <v>710</v>
      </c>
      <c r="D51" s="857">
        <v>1294.23</v>
      </c>
    </row>
    <row r="52" spans="1:4" x14ac:dyDescent="0.35">
      <c r="A52" s="684" t="s">
        <v>723</v>
      </c>
      <c r="B52" s="719">
        <v>44561</v>
      </c>
      <c r="C52" s="684" t="s">
        <v>707</v>
      </c>
      <c r="D52" s="857">
        <v>12837831.84</v>
      </c>
    </row>
    <row r="53" spans="1:4" x14ac:dyDescent="0.35">
      <c r="A53" s="684" t="s">
        <v>723</v>
      </c>
      <c r="B53" s="719">
        <v>44561</v>
      </c>
      <c r="C53" s="684" t="s">
        <v>709</v>
      </c>
      <c r="D53" s="857">
        <v>1671590.6</v>
      </c>
    </row>
    <row r="54" spans="1:4" x14ac:dyDescent="0.35">
      <c r="A54" s="684" t="s">
        <v>723</v>
      </c>
      <c r="B54" s="719">
        <v>44561</v>
      </c>
      <c r="C54" s="684" t="s">
        <v>713</v>
      </c>
      <c r="D54" s="857">
        <v>52785.5</v>
      </c>
    </row>
    <row r="55" spans="1:4" x14ac:dyDescent="0.35">
      <c r="A55" s="684" t="s">
        <v>723</v>
      </c>
      <c r="B55" s="719">
        <v>44561</v>
      </c>
      <c r="C55" s="684" t="s">
        <v>724</v>
      </c>
      <c r="D55" s="857">
        <v>57188.65</v>
      </c>
    </row>
    <row r="56" spans="1:4" x14ac:dyDescent="0.35">
      <c r="A56" s="684" t="s">
        <v>723</v>
      </c>
      <c r="B56" s="719">
        <v>44561</v>
      </c>
      <c r="C56" s="684" t="s">
        <v>714</v>
      </c>
      <c r="D56" s="857">
        <v>3459782.6</v>
      </c>
    </row>
    <row r="57" spans="1:4" x14ac:dyDescent="0.35">
      <c r="A57" s="684" t="s">
        <v>723</v>
      </c>
      <c r="B57" s="719">
        <v>44561</v>
      </c>
      <c r="C57" s="684" t="s">
        <v>722</v>
      </c>
      <c r="D57" s="857">
        <v>-31840</v>
      </c>
    </row>
    <row r="58" spans="1:4" x14ac:dyDescent="0.35">
      <c r="A58" s="684" t="s">
        <v>723</v>
      </c>
      <c r="B58" s="719">
        <v>44561</v>
      </c>
      <c r="C58" s="684" t="s">
        <v>719</v>
      </c>
      <c r="D58" s="857">
        <v>2693.24</v>
      </c>
    </row>
    <row r="59" spans="1:4" s="682" customFormat="1" x14ac:dyDescent="0.35">
      <c r="A59" s="684" t="s">
        <v>769</v>
      </c>
      <c r="B59" s="719"/>
      <c r="C59" s="684"/>
      <c r="D59" s="857">
        <f>SUM(D50:D58)</f>
        <v>18056977.059999999</v>
      </c>
    </row>
    <row r="60" spans="1:4" s="682" customFormat="1" x14ac:dyDescent="0.35">
      <c r="A60" s="684"/>
      <c r="B60" s="719"/>
      <c r="C60" s="684"/>
      <c r="D60" s="857"/>
    </row>
    <row r="61" spans="1:4" x14ac:dyDescent="0.35">
      <c r="A61" s="684" t="s">
        <v>725</v>
      </c>
      <c r="B61" s="719">
        <v>44561</v>
      </c>
      <c r="C61" s="684" t="s">
        <v>707</v>
      </c>
      <c r="D61" s="857">
        <v>57707</v>
      </c>
    </row>
    <row r="62" spans="1:4" x14ac:dyDescent="0.35">
      <c r="A62" s="684" t="s">
        <v>725</v>
      </c>
      <c r="B62" s="719">
        <v>44561</v>
      </c>
      <c r="C62" s="684" t="s">
        <v>712</v>
      </c>
      <c r="D62" s="857">
        <v>357.5</v>
      </c>
    </row>
    <row r="63" spans="1:4" x14ac:dyDescent="0.35">
      <c r="A63" s="684" t="s">
        <v>725</v>
      </c>
      <c r="B63" s="719">
        <v>44561</v>
      </c>
      <c r="C63" s="684" t="s">
        <v>713</v>
      </c>
      <c r="D63" s="857">
        <v>4903.5</v>
      </c>
    </row>
    <row r="64" spans="1:4" x14ac:dyDescent="0.35">
      <c r="A64" s="684" t="s">
        <v>725</v>
      </c>
      <c r="B64" s="719">
        <v>44561</v>
      </c>
      <c r="C64" s="684" t="s">
        <v>709</v>
      </c>
      <c r="D64" s="857">
        <v>1203517.0900000001</v>
      </c>
    </row>
    <row r="65" spans="1:4" x14ac:dyDescent="0.35">
      <c r="A65" s="684" t="s">
        <v>725</v>
      </c>
      <c r="B65" s="719">
        <v>44561</v>
      </c>
      <c r="C65" s="684" t="s">
        <v>714</v>
      </c>
      <c r="D65" s="857">
        <v>307494.7</v>
      </c>
    </row>
    <row r="66" spans="1:4" s="682" customFormat="1" x14ac:dyDescent="0.35">
      <c r="A66" s="684" t="s">
        <v>769</v>
      </c>
      <c r="B66" s="719"/>
      <c r="C66" s="684"/>
      <c r="D66" s="857">
        <f>SUM(D61:D65)</f>
        <v>1573979.79</v>
      </c>
    </row>
    <row r="67" spans="1:4" s="682" customFormat="1" x14ac:dyDescent="0.35">
      <c r="A67" s="684"/>
      <c r="B67" s="719"/>
      <c r="C67" s="684"/>
      <c r="D67" s="857"/>
    </row>
    <row r="68" spans="1:4" x14ac:dyDescent="0.35">
      <c r="A68" s="684" t="s">
        <v>726</v>
      </c>
      <c r="B68" s="719">
        <v>44561</v>
      </c>
      <c r="C68" s="684" t="s">
        <v>710</v>
      </c>
      <c r="D68" s="857">
        <v>53147.77</v>
      </c>
    </row>
    <row r="69" spans="1:4" x14ac:dyDescent="0.35">
      <c r="A69" s="684" t="s">
        <v>726</v>
      </c>
      <c r="B69" s="719">
        <v>44561</v>
      </c>
      <c r="C69" s="684" t="s">
        <v>707</v>
      </c>
      <c r="D69" s="857">
        <v>1958292</v>
      </c>
    </row>
    <row r="70" spans="1:4" x14ac:dyDescent="0.35">
      <c r="A70" s="684" t="s">
        <v>726</v>
      </c>
      <c r="B70" s="719">
        <v>44561</v>
      </c>
      <c r="C70" s="684" t="s">
        <v>709</v>
      </c>
      <c r="D70" s="857">
        <v>775162.81</v>
      </c>
    </row>
    <row r="71" spans="1:4" x14ac:dyDescent="0.35">
      <c r="A71" s="684" t="s">
        <v>726</v>
      </c>
      <c r="B71" s="719">
        <v>44561</v>
      </c>
      <c r="C71" s="684" t="s">
        <v>719</v>
      </c>
      <c r="D71" s="857">
        <v>2974.06</v>
      </c>
    </row>
    <row r="72" spans="1:4" x14ac:dyDescent="0.35">
      <c r="A72" s="684" t="s">
        <v>726</v>
      </c>
      <c r="B72" s="719">
        <v>44561</v>
      </c>
      <c r="C72" s="684" t="s">
        <v>714</v>
      </c>
      <c r="D72" s="857">
        <v>637171.30000000005</v>
      </c>
    </row>
    <row r="73" spans="1:4" x14ac:dyDescent="0.35">
      <c r="A73" s="684" t="s">
        <v>726</v>
      </c>
      <c r="B73" s="719">
        <v>44561</v>
      </c>
      <c r="C73" s="684" t="s">
        <v>713</v>
      </c>
      <c r="D73" s="857">
        <v>14902</v>
      </c>
    </row>
    <row r="74" spans="1:4" x14ac:dyDescent="0.35">
      <c r="A74" s="684" t="s">
        <v>726</v>
      </c>
      <c r="B74" s="719">
        <v>44561</v>
      </c>
      <c r="C74" s="684" t="s">
        <v>712</v>
      </c>
      <c r="D74" s="857">
        <v>3236.7</v>
      </c>
    </row>
    <row r="75" spans="1:4" s="682" customFormat="1" x14ac:dyDescent="0.35">
      <c r="A75" s="684" t="s">
        <v>769</v>
      </c>
      <c r="B75" s="719"/>
      <c r="C75" s="684"/>
      <c r="D75" s="857">
        <f>SUM(D68:D74)</f>
        <v>3444886.6400000006</v>
      </c>
    </row>
    <row r="76" spans="1:4" s="682" customFormat="1" x14ac:dyDescent="0.35">
      <c r="A76" s="684"/>
      <c r="B76" s="719"/>
      <c r="C76" s="684"/>
      <c r="D76" s="857"/>
    </row>
    <row r="77" spans="1:4" x14ac:dyDescent="0.35">
      <c r="A77" s="684" t="s">
        <v>45</v>
      </c>
      <c r="B77" s="719">
        <v>44561</v>
      </c>
      <c r="C77" s="684" t="s">
        <v>709</v>
      </c>
      <c r="D77" s="857">
        <v>66943.490000000005</v>
      </c>
    </row>
    <row r="78" spans="1:4" x14ac:dyDescent="0.35">
      <c r="A78" s="684" t="s">
        <v>45</v>
      </c>
      <c r="B78" s="719">
        <v>44561</v>
      </c>
      <c r="C78" s="684" t="s">
        <v>713</v>
      </c>
      <c r="D78" s="857">
        <v>869</v>
      </c>
    </row>
    <row r="79" spans="1:4" x14ac:dyDescent="0.35">
      <c r="A79" s="684" t="s">
        <v>45</v>
      </c>
      <c r="B79" s="719">
        <v>44561</v>
      </c>
      <c r="C79" s="684" t="s">
        <v>714</v>
      </c>
      <c r="D79" s="857">
        <v>23721.5</v>
      </c>
    </row>
    <row r="80" spans="1:4" s="682" customFormat="1" x14ac:dyDescent="0.35">
      <c r="A80" s="684" t="s">
        <v>769</v>
      </c>
      <c r="B80" s="719"/>
      <c r="C80" s="684"/>
      <c r="D80" s="857">
        <f>SUM(D77:D79)</f>
        <v>91533.99</v>
      </c>
    </row>
    <row r="81" spans="1:4" s="682" customFormat="1" x14ac:dyDescent="0.35">
      <c r="A81" s="684"/>
      <c r="B81" s="719"/>
      <c r="C81" s="684"/>
      <c r="D81" s="857"/>
    </row>
    <row r="82" spans="1:4" x14ac:dyDescent="0.35">
      <c r="A82" s="684" t="s">
        <v>727</v>
      </c>
      <c r="B82" s="719">
        <v>44561</v>
      </c>
      <c r="C82" s="684" t="s">
        <v>707</v>
      </c>
      <c r="D82" s="857">
        <v>45993</v>
      </c>
    </row>
    <row r="83" spans="1:4" x14ac:dyDescent="0.35">
      <c r="A83" s="684" t="s">
        <v>727</v>
      </c>
      <c r="B83" s="719">
        <v>44561</v>
      </c>
      <c r="C83" s="684" t="s">
        <v>714</v>
      </c>
      <c r="D83" s="857">
        <v>1843.7</v>
      </c>
    </row>
    <row r="84" spans="1:4" s="682" customFormat="1" x14ac:dyDescent="0.35">
      <c r="A84" s="684"/>
      <c r="B84" s="719"/>
      <c r="C84" s="684"/>
      <c r="D84" s="857">
        <f>SUM(D82:D83)</f>
        <v>47836.7</v>
      </c>
    </row>
    <row r="85" spans="1:4" s="682" customFormat="1" x14ac:dyDescent="0.35">
      <c r="A85" s="684"/>
      <c r="B85" s="719"/>
      <c r="C85" s="684"/>
      <c r="D85" s="857"/>
    </row>
    <row r="86" spans="1:4" x14ac:dyDescent="0.35">
      <c r="A86" s="684" t="s">
        <v>728</v>
      </c>
      <c r="B86" s="719">
        <v>44561</v>
      </c>
      <c r="C86" s="684" t="s">
        <v>707</v>
      </c>
      <c r="D86" s="857">
        <v>782790</v>
      </c>
    </row>
    <row r="87" spans="1:4" x14ac:dyDescent="0.35">
      <c r="A87" s="684" t="s">
        <v>728</v>
      </c>
      <c r="B87" s="719">
        <v>44561</v>
      </c>
      <c r="C87" s="684" t="s">
        <v>709</v>
      </c>
      <c r="D87" s="857">
        <v>234447.11</v>
      </c>
    </row>
    <row r="88" spans="1:4" x14ac:dyDescent="0.35">
      <c r="A88" s="684" t="s">
        <v>728</v>
      </c>
      <c r="B88" s="719">
        <v>44561</v>
      </c>
      <c r="C88" s="684" t="s">
        <v>712</v>
      </c>
      <c r="D88" s="857">
        <v>1143.4000000000001</v>
      </c>
    </row>
    <row r="89" spans="1:4" x14ac:dyDescent="0.35">
      <c r="A89" s="684" t="s">
        <v>728</v>
      </c>
      <c r="B89" s="719">
        <v>44561</v>
      </c>
      <c r="C89" s="684" t="s">
        <v>714</v>
      </c>
      <c r="D89" s="857">
        <v>207047.1</v>
      </c>
    </row>
    <row r="90" spans="1:4" x14ac:dyDescent="0.35">
      <c r="A90" s="684" t="s">
        <v>728</v>
      </c>
      <c r="B90" s="719">
        <v>44561</v>
      </c>
      <c r="C90" s="684" t="s">
        <v>713</v>
      </c>
      <c r="D90" s="857">
        <v>4170.5</v>
      </c>
    </row>
    <row r="91" spans="1:4" x14ac:dyDescent="0.35">
      <c r="A91" s="684" t="s">
        <v>728</v>
      </c>
      <c r="B91" s="719">
        <v>44561</v>
      </c>
      <c r="C91" s="684" t="s">
        <v>719</v>
      </c>
      <c r="D91" s="857">
        <v>1178.48</v>
      </c>
    </row>
    <row r="92" spans="1:4" x14ac:dyDescent="0.35">
      <c r="A92" s="684" t="s">
        <v>728</v>
      </c>
      <c r="B92" s="719">
        <v>44561</v>
      </c>
      <c r="C92" s="684" t="s">
        <v>760</v>
      </c>
      <c r="D92" s="857">
        <v>-292.63</v>
      </c>
    </row>
    <row r="93" spans="1:4" s="682" customFormat="1" x14ac:dyDescent="0.35">
      <c r="A93" s="684" t="s">
        <v>769</v>
      </c>
      <c r="B93" s="719"/>
      <c r="C93" s="684"/>
      <c r="D93" s="857">
        <f>SUM(D86:D92)</f>
        <v>1230483.9600000002</v>
      </c>
    </row>
    <row r="94" spans="1:4" s="682" customFormat="1" x14ac:dyDescent="0.35">
      <c r="A94" s="684"/>
      <c r="B94" s="719"/>
      <c r="C94" s="684"/>
      <c r="D94" s="857"/>
    </row>
    <row r="95" spans="1:4" x14ac:dyDescent="0.35">
      <c r="A95" s="684" t="s">
        <v>729</v>
      </c>
      <c r="B95" s="719">
        <v>44561</v>
      </c>
      <c r="C95" s="684" t="s">
        <v>713</v>
      </c>
      <c r="D95" s="857">
        <v>629</v>
      </c>
    </row>
    <row r="96" spans="1:4" x14ac:dyDescent="0.35">
      <c r="A96" s="684" t="s">
        <v>729</v>
      </c>
      <c r="B96" s="719">
        <v>44561</v>
      </c>
      <c r="C96" s="684" t="s">
        <v>707</v>
      </c>
      <c r="D96" s="857">
        <v>208113</v>
      </c>
    </row>
    <row r="97" spans="1:4" x14ac:dyDescent="0.35">
      <c r="A97" s="684" t="s">
        <v>729</v>
      </c>
      <c r="B97" s="719">
        <v>44561</v>
      </c>
      <c r="C97" s="684" t="s">
        <v>712</v>
      </c>
      <c r="D97" s="857">
        <v>74</v>
      </c>
    </row>
    <row r="98" spans="1:4" x14ac:dyDescent="0.35">
      <c r="A98" s="684" t="s">
        <v>729</v>
      </c>
      <c r="B98" s="719">
        <v>44561</v>
      </c>
      <c r="C98" s="684" t="s">
        <v>714</v>
      </c>
      <c r="D98" s="857">
        <v>50118.6</v>
      </c>
    </row>
    <row r="99" spans="1:4" s="682" customFormat="1" x14ac:dyDescent="0.35">
      <c r="A99" s="684" t="s">
        <v>769</v>
      </c>
      <c r="B99" s="719"/>
      <c r="C99" s="684"/>
      <c r="D99" s="857">
        <f>SUM(D95:D98)</f>
        <v>258934.6</v>
      </c>
    </row>
    <row r="100" spans="1:4" s="682" customFormat="1" x14ac:dyDescent="0.35">
      <c r="A100" s="684"/>
      <c r="B100" s="719"/>
      <c r="C100" s="684"/>
      <c r="D100" s="857"/>
    </row>
    <row r="101" spans="1:4" x14ac:dyDescent="0.35">
      <c r="A101" s="684" t="s">
        <v>730</v>
      </c>
      <c r="B101" s="719">
        <v>44561</v>
      </c>
      <c r="C101" s="684" t="s">
        <v>719</v>
      </c>
      <c r="D101" s="857">
        <v>2175.71</v>
      </c>
    </row>
    <row r="102" spans="1:4" x14ac:dyDescent="0.35">
      <c r="A102" s="684" t="s">
        <v>730</v>
      </c>
      <c r="B102" s="719">
        <v>44561</v>
      </c>
      <c r="C102" s="684" t="s">
        <v>712</v>
      </c>
      <c r="D102" s="857">
        <v>881.8</v>
      </c>
    </row>
    <row r="103" spans="1:4" x14ac:dyDescent="0.35">
      <c r="A103" s="684" t="s">
        <v>730</v>
      </c>
      <c r="B103" s="719">
        <v>44561</v>
      </c>
      <c r="C103" s="684" t="s">
        <v>713</v>
      </c>
      <c r="D103" s="857">
        <v>10859.5</v>
      </c>
    </row>
    <row r="104" spans="1:4" x14ac:dyDescent="0.35">
      <c r="A104" s="684" t="s">
        <v>730</v>
      </c>
      <c r="B104" s="719">
        <v>44561</v>
      </c>
      <c r="C104" s="684" t="s">
        <v>709</v>
      </c>
      <c r="D104" s="857">
        <v>828120.46</v>
      </c>
    </row>
    <row r="105" spans="1:4" x14ac:dyDescent="0.35">
      <c r="A105" s="684" t="s">
        <v>730</v>
      </c>
      <c r="B105" s="719">
        <v>44561</v>
      </c>
      <c r="C105" s="684" t="s">
        <v>714</v>
      </c>
      <c r="D105" s="857">
        <v>340781.4</v>
      </c>
    </row>
    <row r="106" spans="1:4" x14ac:dyDescent="0.35">
      <c r="A106" s="684" t="s">
        <v>730</v>
      </c>
      <c r="B106" s="719">
        <v>44561</v>
      </c>
      <c r="C106" s="684" t="s">
        <v>707</v>
      </c>
      <c r="D106" s="857">
        <v>953158</v>
      </c>
    </row>
    <row r="107" spans="1:4" s="682" customFormat="1" x14ac:dyDescent="0.35">
      <c r="A107" s="684" t="s">
        <v>769</v>
      </c>
      <c r="B107" s="719"/>
      <c r="C107" s="684"/>
      <c r="D107" s="857">
        <f>SUM(D101:D106)</f>
        <v>2135976.87</v>
      </c>
    </row>
    <row r="108" spans="1:4" s="682" customFormat="1" x14ac:dyDescent="0.35">
      <c r="A108" s="684"/>
      <c r="B108" s="719"/>
      <c r="C108" s="684"/>
      <c r="D108" s="857"/>
    </row>
    <row r="109" spans="1:4" x14ac:dyDescent="0.35">
      <c r="A109" s="684" t="s">
        <v>731</v>
      </c>
      <c r="B109" s="719">
        <v>44561</v>
      </c>
      <c r="C109" s="684" t="s">
        <v>712</v>
      </c>
      <c r="D109" s="857">
        <v>600.5</v>
      </c>
    </row>
    <row r="110" spans="1:4" x14ac:dyDescent="0.35">
      <c r="A110" s="684" t="s">
        <v>731</v>
      </c>
      <c r="B110" s="719">
        <v>44561</v>
      </c>
      <c r="C110" s="684" t="s">
        <v>707</v>
      </c>
      <c r="D110" s="857">
        <v>6858853.1600000001</v>
      </c>
    </row>
    <row r="111" spans="1:4" x14ac:dyDescent="0.35">
      <c r="A111" s="684" t="s">
        <v>731</v>
      </c>
      <c r="B111" s="719">
        <v>44561</v>
      </c>
      <c r="C111" s="684" t="s">
        <v>710</v>
      </c>
      <c r="D111" s="857">
        <v>0</v>
      </c>
    </row>
    <row r="112" spans="1:4" x14ac:dyDescent="0.35">
      <c r="A112" s="684" t="s">
        <v>731</v>
      </c>
      <c r="B112" s="719">
        <v>44561</v>
      </c>
      <c r="C112" s="684" t="s">
        <v>709</v>
      </c>
      <c r="D112" s="857">
        <v>46558.25</v>
      </c>
    </row>
    <row r="113" spans="1:4" x14ac:dyDescent="0.35">
      <c r="A113" s="684" t="s">
        <v>731</v>
      </c>
      <c r="B113" s="719">
        <v>44561</v>
      </c>
      <c r="C113" s="684" t="s">
        <v>724</v>
      </c>
      <c r="D113" s="857">
        <v>0</v>
      </c>
    </row>
    <row r="114" spans="1:4" x14ac:dyDescent="0.35">
      <c r="A114" s="684" t="s">
        <v>731</v>
      </c>
      <c r="B114" s="719">
        <v>44561</v>
      </c>
      <c r="C114" s="684" t="s">
        <v>714</v>
      </c>
      <c r="D114" s="857">
        <v>1095959.2</v>
      </c>
    </row>
    <row r="115" spans="1:4" x14ac:dyDescent="0.35">
      <c r="A115" s="684" t="s">
        <v>731</v>
      </c>
      <c r="B115" s="719">
        <v>44561</v>
      </c>
      <c r="C115" s="684" t="s">
        <v>719</v>
      </c>
      <c r="D115" s="857">
        <v>296.05</v>
      </c>
    </row>
    <row r="116" spans="1:4" x14ac:dyDescent="0.35">
      <c r="A116" s="684" t="s">
        <v>731</v>
      </c>
      <c r="B116" s="719">
        <v>44561</v>
      </c>
      <c r="C116" s="684" t="s">
        <v>713</v>
      </c>
      <c r="D116" s="857">
        <v>21406.5</v>
      </c>
    </row>
    <row r="117" spans="1:4" s="682" customFormat="1" x14ac:dyDescent="0.35">
      <c r="A117" s="684" t="s">
        <v>769</v>
      </c>
      <c r="B117" s="719"/>
      <c r="C117" s="684"/>
      <c r="D117" s="857">
        <f>SUM(D108:D116)</f>
        <v>8023673.6600000001</v>
      </c>
    </row>
    <row r="118" spans="1:4" s="682" customFormat="1" x14ac:dyDescent="0.35">
      <c r="A118" s="684"/>
      <c r="B118" s="719"/>
      <c r="C118" s="684"/>
      <c r="D118" s="857"/>
    </row>
    <row r="119" spans="1:4" x14ac:dyDescent="0.35">
      <c r="A119" s="684" t="s">
        <v>732</v>
      </c>
      <c r="B119" s="719">
        <v>44561</v>
      </c>
      <c r="C119" s="684" t="s">
        <v>714</v>
      </c>
      <c r="D119" s="857">
        <v>105603.6</v>
      </c>
    </row>
    <row r="120" spans="1:4" x14ac:dyDescent="0.35">
      <c r="A120" s="684" t="s">
        <v>732</v>
      </c>
      <c r="B120" s="719">
        <v>44561</v>
      </c>
      <c r="C120" s="684" t="s">
        <v>775</v>
      </c>
      <c r="D120" s="857">
        <v>-468</v>
      </c>
    </row>
    <row r="121" spans="1:4" x14ac:dyDescent="0.35">
      <c r="A121" s="684" t="s">
        <v>732</v>
      </c>
      <c r="B121" s="719">
        <v>44561</v>
      </c>
      <c r="C121" s="684" t="s">
        <v>712</v>
      </c>
      <c r="D121" s="857">
        <v>185</v>
      </c>
    </row>
    <row r="122" spans="1:4" x14ac:dyDescent="0.35">
      <c r="A122" s="684" t="s">
        <v>732</v>
      </c>
      <c r="B122" s="719">
        <v>44561</v>
      </c>
      <c r="C122" s="684" t="s">
        <v>707</v>
      </c>
      <c r="D122" s="857">
        <v>555883</v>
      </c>
    </row>
    <row r="123" spans="1:4" x14ac:dyDescent="0.35">
      <c r="A123" s="684" t="s">
        <v>732</v>
      </c>
      <c r="B123" s="719">
        <v>44561</v>
      </c>
      <c r="C123" s="684" t="s">
        <v>776</v>
      </c>
      <c r="D123" s="857">
        <v>-13847.5</v>
      </c>
    </row>
    <row r="124" spans="1:4" x14ac:dyDescent="0.35">
      <c r="A124" s="684" t="s">
        <v>732</v>
      </c>
      <c r="B124" s="719">
        <v>44561</v>
      </c>
      <c r="C124" s="684" t="s">
        <v>713</v>
      </c>
      <c r="D124" s="857">
        <v>3732.5</v>
      </c>
    </row>
    <row r="125" spans="1:4" x14ac:dyDescent="0.35">
      <c r="A125" s="684" t="s">
        <v>732</v>
      </c>
      <c r="B125" s="719">
        <v>44561</v>
      </c>
      <c r="C125" s="684" t="s">
        <v>709</v>
      </c>
      <c r="D125" s="857">
        <v>11960.75</v>
      </c>
    </row>
    <row r="126" spans="1:4" s="682" customFormat="1" x14ac:dyDescent="0.35">
      <c r="A126" s="684" t="s">
        <v>769</v>
      </c>
      <c r="B126" s="719"/>
      <c r="C126" s="684"/>
      <c r="D126" s="857">
        <f>SUM(D119:D125)</f>
        <v>663049.35</v>
      </c>
    </row>
    <row r="127" spans="1:4" s="682" customFormat="1" x14ac:dyDescent="0.35">
      <c r="A127" s="684"/>
      <c r="B127" s="719"/>
      <c r="C127" s="684"/>
      <c r="D127" s="857"/>
    </row>
    <row r="128" spans="1:4" ht="17.399999999999999" customHeight="1" x14ac:dyDescent="0.35">
      <c r="A128" s="684" t="s">
        <v>777</v>
      </c>
      <c r="B128" s="719">
        <v>44561</v>
      </c>
      <c r="C128" s="684" t="s">
        <v>714</v>
      </c>
      <c r="D128" s="857">
        <v>4128.2</v>
      </c>
    </row>
    <row r="129" spans="1:4" x14ac:dyDescent="0.35">
      <c r="A129" s="684" t="s">
        <v>777</v>
      </c>
      <c r="B129" s="719">
        <v>44561</v>
      </c>
      <c r="C129" s="684" t="s">
        <v>719</v>
      </c>
      <c r="D129" s="857">
        <v>2918.75</v>
      </c>
    </row>
    <row r="130" spans="1:4" x14ac:dyDescent="0.35">
      <c r="A130" s="684" t="s">
        <v>777</v>
      </c>
      <c r="B130" s="719">
        <v>44561</v>
      </c>
      <c r="C130" s="684" t="s">
        <v>709</v>
      </c>
      <c r="D130" s="857">
        <v>56492.63</v>
      </c>
    </row>
    <row r="131" spans="1:4" s="682" customFormat="1" x14ac:dyDescent="0.35">
      <c r="A131" s="684" t="s">
        <v>769</v>
      </c>
      <c r="B131" s="719"/>
      <c r="C131" s="684"/>
      <c r="D131" s="857">
        <f>SUM(D128:D130)</f>
        <v>63539.579999999994</v>
      </c>
    </row>
    <row r="132" spans="1:4" s="682" customFormat="1" x14ac:dyDescent="0.35">
      <c r="A132" s="684"/>
      <c r="B132" s="719"/>
      <c r="C132" s="684"/>
      <c r="D132" s="857"/>
    </row>
    <row r="133" spans="1:4" x14ac:dyDescent="0.35">
      <c r="A133" s="684" t="s">
        <v>483</v>
      </c>
      <c r="B133" s="719">
        <v>44561</v>
      </c>
      <c r="C133" s="684" t="s">
        <v>714</v>
      </c>
      <c r="D133" s="857">
        <v>788</v>
      </c>
    </row>
    <row r="134" spans="1:4" s="682" customFormat="1" x14ac:dyDescent="0.35">
      <c r="A134" s="684" t="s">
        <v>769</v>
      </c>
      <c r="B134" s="719"/>
      <c r="C134" s="684"/>
      <c r="D134" s="857">
        <f>SUM(D133)</f>
        <v>788</v>
      </c>
    </row>
    <row r="135" spans="1:4" s="682" customFormat="1" x14ac:dyDescent="0.35">
      <c r="A135" s="684"/>
      <c r="B135" s="719"/>
      <c r="C135" s="684"/>
      <c r="D135" s="857"/>
    </row>
    <row r="136" spans="1:4" x14ac:dyDescent="0.35">
      <c r="A136" s="684" t="s">
        <v>466</v>
      </c>
      <c r="B136" s="719">
        <v>44561</v>
      </c>
      <c r="C136" s="684" t="s">
        <v>714</v>
      </c>
      <c r="D136" s="857">
        <v>8190.7</v>
      </c>
    </row>
    <row r="137" spans="1:4" x14ac:dyDescent="0.35">
      <c r="A137" s="684" t="s">
        <v>466</v>
      </c>
      <c r="B137" s="719">
        <v>44561</v>
      </c>
      <c r="C137" s="684" t="s">
        <v>709</v>
      </c>
      <c r="D137" s="857">
        <v>53716.22</v>
      </c>
    </row>
    <row r="138" spans="1:4" s="682" customFormat="1" x14ac:dyDescent="0.35">
      <c r="A138" s="684" t="s">
        <v>769</v>
      </c>
      <c r="B138" s="719"/>
      <c r="C138" s="684"/>
      <c r="D138" s="857">
        <f>SUM(D136:D137)</f>
        <v>61906.92</v>
      </c>
    </row>
    <row r="139" spans="1:4" s="682" customFormat="1" x14ac:dyDescent="0.35">
      <c r="A139" s="684"/>
      <c r="B139" s="719"/>
      <c r="C139" s="684"/>
      <c r="D139" s="857"/>
    </row>
    <row r="140" spans="1:4" x14ac:dyDescent="0.35">
      <c r="A140" s="684" t="s">
        <v>481</v>
      </c>
      <c r="B140" s="719">
        <v>44561</v>
      </c>
      <c r="C140" s="684" t="s">
        <v>709</v>
      </c>
      <c r="D140" s="857">
        <v>18343.11</v>
      </c>
    </row>
    <row r="141" spans="1:4" x14ac:dyDescent="0.35">
      <c r="A141" s="684" t="s">
        <v>481</v>
      </c>
      <c r="B141" s="719">
        <v>44561</v>
      </c>
      <c r="C141" s="684" t="s">
        <v>714</v>
      </c>
      <c r="D141" s="857">
        <v>6077.5</v>
      </c>
    </row>
    <row r="142" spans="1:4" s="682" customFormat="1" x14ac:dyDescent="0.35">
      <c r="A142" s="684" t="s">
        <v>769</v>
      </c>
      <c r="B142" s="719"/>
      <c r="C142" s="684"/>
      <c r="D142" s="857">
        <f>SUM(D140:D141)</f>
        <v>24420.61</v>
      </c>
    </row>
    <row r="143" spans="1:4" s="682" customFormat="1" x14ac:dyDescent="0.35">
      <c r="A143" s="684"/>
      <c r="B143" s="719"/>
      <c r="C143" s="684"/>
      <c r="D143" s="857"/>
    </row>
    <row r="144" spans="1:4" x14ac:dyDescent="0.35">
      <c r="A144" s="684" t="s">
        <v>734</v>
      </c>
      <c r="B144" s="719">
        <v>44561</v>
      </c>
      <c r="C144" s="684" t="s">
        <v>714</v>
      </c>
      <c r="D144" s="857">
        <v>16580.900000000001</v>
      </c>
    </row>
    <row r="145" spans="1:4" x14ac:dyDescent="0.35">
      <c r="A145" s="684" t="s">
        <v>734</v>
      </c>
      <c r="B145" s="719">
        <v>44561</v>
      </c>
      <c r="C145" s="684" t="s">
        <v>713</v>
      </c>
      <c r="D145" s="857">
        <v>40</v>
      </c>
    </row>
    <row r="146" spans="1:4" x14ac:dyDescent="0.35">
      <c r="A146" s="684" t="s">
        <v>734</v>
      </c>
      <c r="B146" s="719">
        <v>44561</v>
      </c>
      <c r="C146" s="684" t="s">
        <v>709</v>
      </c>
      <c r="D146" s="857">
        <v>58940.29</v>
      </c>
    </row>
    <row r="147" spans="1:4" s="682" customFormat="1" x14ac:dyDescent="0.35">
      <c r="A147" s="684" t="s">
        <v>769</v>
      </c>
      <c r="B147" s="719"/>
      <c r="C147" s="684"/>
      <c r="D147" s="857">
        <f>SUM(D143:D146)</f>
        <v>75561.19</v>
      </c>
    </row>
    <row r="148" spans="1:4" s="682" customFormat="1" x14ac:dyDescent="0.35">
      <c r="A148" s="684"/>
      <c r="B148" s="719"/>
      <c r="C148" s="684"/>
      <c r="D148" s="857"/>
    </row>
    <row r="149" spans="1:4" x14ac:dyDescent="0.35">
      <c r="A149" s="684" t="s">
        <v>736</v>
      </c>
      <c r="B149" s="719">
        <v>44561</v>
      </c>
      <c r="C149" s="684" t="s">
        <v>714</v>
      </c>
      <c r="D149" s="857">
        <v>332968.5</v>
      </c>
    </row>
    <row r="150" spans="1:4" x14ac:dyDescent="0.35">
      <c r="A150" s="684" t="s">
        <v>736</v>
      </c>
      <c r="B150" s="719">
        <v>44561</v>
      </c>
      <c r="C150" s="684" t="s">
        <v>712</v>
      </c>
      <c r="D150" s="857">
        <v>1236.5</v>
      </c>
    </row>
    <row r="151" spans="1:4" x14ac:dyDescent="0.35">
      <c r="A151" s="684" t="s">
        <v>736</v>
      </c>
      <c r="B151" s="719">
        <v>44561</v>
      </c>
      <c r="C151" s="684" t="s">
        <v>713</v>
      </c>
      <c r="D151" s="857">
        <v>2527</v>
      </c>
    </row>
    <row r="152" spans="1:4" x14ac:dyDescent="0.35">
      <c r="A152" s="684" t="s">
        <v>736</v>
      </c>
      <c r="B152" s="719">
        <v>44561</v>
      </c>
      <c r="C152" s="684" t="s">
        <v>707</v>
      </c>
      <c r="D152" s="857">
        <v>844994</v>
      </c>
    </row>
    <row r="153" spans="1:4" x14ac:dyDescent="0.35">
      <c r="A153" s="684" t="s">
        <v>736</v>
      </c>
      <c r="B153" s="719">
        <v>44561</v>
      </c>
      <c r="C153" s="684" t="s">
        <v>709</v>
      </c>
      <c r="D153" s="857">
        <v>140033.88</v>
      </c>
    </row>
    <row r="154" spans="1:4" s="682" customFormat="1" x14ac:dyDescent="0.35">
      <c r="A154" s="684" t="s">
        <v>769</v>
      </c>
      <c r="B154" s="719"/>
      <c r="C154" s="684"/>
      <c r="D154" s="857">
        <f>SUM(D149:D153)</f>
        <v>1321759.8799999999</v>
      </c>
    </row>
    <row r="155" spans="1:4" s="682" customFormat="1" x14ac:dyDescent="0.35">
      <c r="A155" s="684"/>
      <c r="B155" s="719"/>
      <c r="C155" s="684"/>
      <c r="D155" s="857"/>
    </row>
    <row r="156" spans="1:4" x14ac:dyDescent="0.35">
      <c r="A156" s="684" t="s">
        <v>737</v>
      </c>
      <c r="B156" s="719">
        <v>44561</v>
      </c>
      <c r="C156" s="684" t="s">
        <v>712</v>
      </c>
      <c r="D156" s="857">
        <v>225</v>
      </c>
    </row>
    <row r="157" spans="1:4" x14ac:dyDescent="0.35">
      <c r="A157" s="684" t="s">
        <v>737</v>
      </c>
      <c r="B157" s="719">
        <v>44561</v>
      </c>
      <c r="C157" s="684" t="s">
        <v>714</v>
      </c>
      <c r="D157" s="857">
        <v>16595.599999999999</v>
      </c>
    </row>
    <row r="158" spans="1:4" x14ac:dyDescent="0.35">
      <c r="A158" s="684" t="s">
        <v>737</v>
      </c>
      <c r="B158" s="719">
        <v>44561</v>
      </c>
      <c r="C158" s="684" t="s">
        <v>707</v>
      </c>
      <c r="D158" s="857">
        <v>63252</v>
      </c>
    </row>
    <row r="159" spans="1:4" s="682" customFormat="1" x14ac:dyDescent="0.35">
      <c r="A159" s="684" t="s">
        <v>769</v>
      </c>
      <c r="B159" s="719"/>
      <c r="C159" s="684"/>
      <c r="D159" s="857">
        <f>SUM(D156:D158)</f>
        <v>80072.600000000006</v>
      </c>
    </row>
    <row r="160" spans="1:4" s="682" customFormat="1" x14ac:dyDescent="0.35">
      <c r="A160" s="684"/>
      <c r="B160" s="719"/>
      <c r="C160" s="684"/>
      <c r="D160" s="857"/>
    </row>
    <row r="161" spans="1:4" ht="13.75" customHeight="1" x14ac:dyDescent="0.35">
      <c r="A161" s="684" t="s">
        <v>738</v>
      </c>
      <c r="B161" s="719">
        <v>44561</v>
      </c>
      <c r="C161" s="684" t="s">
        <v>714</v>
      </c>
      <c r="D161" s="857">
        <v>2435.1</v>
      </c>
    </row>
    <row r="162" spans="1:4" x14ac:dyDescent="0.35">
      <c r="A162" s="684" t="s">
        <v>738</v>
      </c>
      <c r="B162" s="719">
        <v>44561</v>
      </c>
      <c r="C162" s="684" t="s">
        <v>707</v>
      </c>
      <c r="D162" s="857">
        <v>35925</v>
      </c>
    </row>
    <row r="163" spans="1:4" s="682" customFormat="1" x14ac:dyDescent="0.35">
      <c r="A163" s="684" t="s">
        <v>769</v>
      </c>
      <c r="B163" s="719"/>
      <c r="C163" s="684"/>
      <c r="D163" s="857">
        <f>SUM(D161:D162)</f>
        <v>38360.1</v>
      </c>
    </row>
    <row r="164" spans="1:4" s="682" customFormat="1" x14ac:dyDescent="0.35">
      <c r="A164" s="684"/>
      <c r="B164" s="719"/>
      <c r="C164" s="684"/>
      <c r="D164" s="857"/>
    </row>
    <row r="165" spans="1:4" x14ac:dyDescent="0.35">
      <c r="A165" s="684" t="s">
        <v>739</v>
      </c>
      <c r="B165" s="719">
        <v>44561</v>
      </c>
      <c r="C165" s="684" t="s">
        <v>707</v>
      </c>
      <c r="D165" s="857">
        <v>142044</v>
      </c>
    </row>
    <row r="166" spans="1:4" x14ac:dyDescent="0.35">
      <c r="A166" s="684" t="s">
        <v>739</v>
      </c>
      <c r="B166" s="719">
        <v>44561</v>
      </c>
      <c r="C166" s="684" t="s">
        <v>714</v>
      </c>
      <c r="D166" s="857">
        <v>43698.8</v>
      </c>
    </row>
    <row r="167" spans="1:4" x14ac:dyDescent="0.35">
      <c r="A167" s="684" t="s">
        <v>739</v>
      </c>
      <c r="B167" s="719">
        <v>44561</v>
      </c>
      <c r="C167" s="684" t="s">
        <v>713</v>
      </c>
      <c r="D167" s="857">
        <v>630</v>
      </c>
    </row>
    <row r="168" spans="1:4" x14ac:dyDescent="0.35">
      <c r="A168" s="684" t="s">
        <v>739</v>
      </c>
      <c r="B168" s="719">
        <v>44561</v>
      </c>
      <c r="C168" s="684" t="s">
        <v>712</v>
      </c>
      <c r="D168" s="857">
        <v>1149.8</v>
      </c>
    </row>
    <row r="169" spans="1:4" x14ac:dyDescent="0.35">
      <c r="A169" s="684" t="s">
        <v>739</v>
      </c>
      <c r="B169" s="719">
        <v>44561</v>
      </c>
      <c r="C169" s="684" t="s">
        <v>709</v>
      </c>
      <c r="D169" s="857">
        <v>26831.61</v>
      </c>
    </row>
    <row r="170" spans="1:4" s="682" customFormat="1" x14ac:dyDescent="0.35">
      <c r="A170" s="684" t="s">
        <v>769</v>
      </c>
      <c r="B170" s="719"/>
      <c r="C170" s="684"/>
      <c r="D170" s="857">
        <f>SUM(D164:D169)</f>
        <v>214354.20999999996</v>
      </c>
    </row>
    <row r="171" spans="1:4" s="682" customFormat="1" x14ac:dyDescent="0.35">
      <c r="A171" s="684"/>
      <c r="B171" s="719"/>
      <c r="C171" s="684"/>
      <c r="D171" s="857"/>
    </row>
    <row r="172" spans="1:4" x14ac:dyDescent="0.35">
      <c r="A172" s="684" t="s">
        <v>740</v>
      </c>
      <c r="B172" s="719">
        <v>44561</v>
      </c>
      <c r="C172" s="684" t="s">
        <v>714</v>
      </c>
      <c r="D172" s="857">
        <v>39617</v>
      </c>
    </row>
    <row r="173" spans="1:4" x14ac:dyDescent="0.35">
      <c r="A173" s="684" t="s">
        <v>740</v>
      </c>
      <c r="B173" s="719">
        <v>44561</v>
      </c>
      <c r="C173" s="684" t="s">
        <v>707</v>
      </c>
      <c r="D173" s="857">
        <v>126785</v>
      </c>
    </row>
    <row r="174" spans="1:4" x14ac:dyDescent="0.35">
      <c r="A174" s="684" t="s">
        <v>740</v>
      </c>
      <c r="B174" s="719">
        <v>44561</v>
      </c>
      <c r="C174" s="684" t="s">
        <v>713</v>
      </c>
      <c r="D174" s="857">
        <v>2231</v>
      </c>
    </row>
    <row r="175" spans="1:4" s="682" customFormat="1" x14ac:dyDescent="0.35">
      <c r="A175" s="684" t="s">
        <v>769</v>
      </c>
      <c r="B175" s="719"/>
      <c r="C175" s="684"/>
      <c r="D175" s="857">
        <f>SUM(D172:D174)</f>
        <v>168633</v>
      </c>
    </row>
    <row r="176" spans="1:4" s="682" customFormat="1" x14ac:dyDescent="0.35">
      <c r="A176" s="684"/>
      <c r="B176" s="719"/>
      <c r="C176" s="684"/>
      <c r="D176" s="857"/>
    </row>
    <row r="177" spans="1:4" x14ac:dyDescent="0.35">
      <c r="A177" s="684" t="s">
        <v>741</v>
      </c>
      <c r="B177" s="719">
        <v>44561</v>
      </c>
      <c r="C177" s="684" t="s">
        <v>709</v>
      </c>
      <c r="D177" s="857">
        <v>163122.51</v>
      </c>
    </row>
    <row r="178" spans="1:4" x14ac:dyDescent="0.35">
      <c r="A178" s="684" t="s">
        <v>741</v>
      </c>
      <c r="B178" s="719">
        <v>44561</v>
      </c>
      <c r="C178" s="684" t="s">
        <v>713</v>
      </c>
      <c r="D178" s="857">
        <v>410.5</v>
      </c>
    </row>
    <row r="179" spans="1:4" x14ac:dyDescent="0.35">
      <c r="A179" s="684" t="s">
        <v>741</v>
      </c>
      <c r="B179" s="719">
        <v>44561</v>
      </c>
      <c r="C179" s="684" t="s">
        <v>714</v>
      </c>
      <c r="D179" s="857">
        <v>20348.099999999999</v>
      </c>
    </row>
    <row r="180" spans="1:4" s="682" customFormat="1" x14ac:dyDescent="0.35">
      <c r="A180" s="684" t="s">
        <v>769</v>
      </c>
      <c r="B180" s="719"/>
      <c r="C180" s="684"/>
      <c r="D180" s="857">
        <f>SUM(D177:D179)</f>
        <v>183881.11000000002</v>
      </c>
    </row>
    <row r="181" spans="1:4" s="682" customFormat="1" x14ac:dyDescent="0.35">
      <c r="A181" s="684"/>
      <c r="B181" s="719"/>
      <c r="C181" s="684"/>
      <c r="D181" s="857"/>
    </row>
    <row r="182" spans="1:4" x14ac:dyDescent="0.35">
      <c r="A182" s="684" t="s">
        <v>742</v>
      </c>
      <c r="B182" s="719">
        <v>44561</v>
      </c>
      <c r="C182" s="684" t="s">
        <v>714</v>
      </c>
      <c r="D182" s="857">
        <v>103377.3</v>
      </c>
    </row>
    <row r="183" spans="1:4" x14ac:dyDescent="0.35">
      <c r="A183" s="684" t="s">
        <v>742</v>
      </c>
      <c r="B183" s="719">
        <v>44561</v>
      </c>
      <c r="C183" s="684" t="s">
        <v>712</v>
      </c>
      <c r="D183" s="857">
        <v>1231</v>
      </c>
    </row>
    <row r="184" spans="1:4" x14ac:dyDescent="0.35">
      <c r="A184" s="684" t="s">
        <v>742</v>
      </c>
      <c r="B184" s="719">
        <v>44561</v>
      </c>
      <c r="C184" s="684" t="s">
        <v>713</v>
      </c>
      <c r="D184" s="857">
        <v>5806.5</v>
      </c>
    </row>
    <row r="185" spans="1:4" x14ac:dyDescent="0.35">
      <c r="A185" s="684" t="s">
        <v>742</v>
      </c>
      <c r="B185" s="719">
        <v>44561</v>
      </c>
      <c r="C185" s="684" t="s">
        <v>707</v>
      </c>
      <c r="D185" s="857">
        <v>856176</v>
      </c>
    </row>
    <row r="186" spans="1:4" s="682" customFormat="1" x14ac:dyDescent="0.35">
      <c r="A186" s="684" t="s">
        <v>769</v>
      </c>
      <c r="B186" s="719"/>
      <c r="C186" s="684"/>
      <c r="D186" s="857">
        <f>SUM(D182:D185)</f>
        <v>966590.8</v>
      </c>
    </row>
    <row r="187" spans="1:4" s="682" customFormat="1" x14ac:dyDescent="0.35">
      <c r="A187" s="684"/>
      <c r="B187" s="719"/>
      <c r="C187" s="684"/>
      <c r="D187" s="857"/>
    </row>
    <row r="188" spans="1:4" x14ac:dyDescent="0.35">
      <c r="A188" s="684" t="s">
        <v>743</v>
      </c>
      <c r="B188" s="719">
        <v>44561</v>
      </c>
      <c r="C188" s="684" t="s">
        <v>713</v>
      </c>
      <c r="D188" s="857">
        <v>7353.5</v>
      </c>
    </row>
    <row r="189" spans="1:4" x14ac:dyDescent="0.35">
      <c r="A189" s="684" t="s">
        <v>743</v>
      </c>
      <c r="B189" s="719">
        <v>44561</v>
      </c>
      <c r="C189" s="684" t="s">
        <v>709</v>
      </c>
      <c r="D189" s="857">
        <v>20178.95</v>
      </c>
    </row>
    <row r="190" spans="1:4" x14ac:dyDescent="0.35">
      <c r="A190" s="684" t="s">
        <v>743</v>
      </c>
      <c r="B190" s="719">
        <v>44561</v>
      </c>
      <c r="C190" s="684" t="s">
        <v>714</v>
      </c>
      <c r="D190" s="857">
        <v>57774</v>
      </c>
    </row>
    <row r="191" spans="1:4" x14ac:dyDescent="0.35">
      <c r="A191" s="684" t="s">
        <v>743</v>
      </c>
      <c r="B191" s="719">
        <v>44561</v>
      </c>
      <c r="C191" s="684" t="s">
        <v>707</v>
      </c>
      <c r="D191" s="857">
        <v>385077</v>
      </c>
    </row>
    <row r="192" spans="1:4" s="682" customFormat="1" x14ac:dyDescent="0.35">
      <c r="A192" s="684" t="s">
        <v>769</v>
      </c>
      <c r="B192" s="719"/>
      <c r="C192" s="684"/>
      <c r="D192" s="857">
        <f>SUM(D188:D191)</f>
        <v>470383.45</v>
      </c>
    </row>
    <row r="193" spans="1:4" s="682" customFormat="1" x14ac:dyDescent="0.35">
      <c r="A193" s="684"/>
      <c r="B193" s="719"/>
      <c r="C193" s="684"/>
      <c r="D193" s="857"/>
    </row>
    <row r="194" spans="1:4" x14ac:dyDescent="0.35">
      <c r="A194" s="684" t="s">
        <v>526</v>
      </c>
      <c r="B194" s="719">
        <v>44561</v>
      </c>
      <c r="C194" s="684" t="s">
        <v>713</v>
      </c>
      <c r="D194" s="857">
        <v>2084.5</v>
      </c>
    </row>
    <row r="195" spans="1:4" x14ac:dyDescent="0.35">
      <c r="A195" s="684" t="s">
        <v>526</v>
      </c>
      <c r="B195" s="719">
        <v>44561</v>
      </c>
      <c r="C195" s="684" t="s">
        <v>712</v>
      </c>
      <c r="D195" s="857">
        <v>1261.7</v>
      </c>
    </row>
    <row r="196" spans="1:4" x14ac:dyDescent="0.35">
      <c r="A196" s="684" t="s">
        <v>526</v>
      </c>
      <c r="B196" s="719">
        <v>44561</v>
      </c>
      <c r="C196" s="684" t="s">
        <v>714</v>
      </c>
      <c r="D196" s="857">
        <v>222785.9</v>
      </c>
    </row>
    <row r="197" spans="1:4" ht="18" customHeight="1" x14ac:dyDescent="0.35">
      <c r="A197" s="684" t="s">
        <v>526</v>
      </c>
      <c r="B197" s="719">
        <v>44561</v>
      </c>
      <c r="C197" s="684" t="s">
        <v>707</v>
      </c>
      <c r="D197" s="857">
        <v>1448906</v>
      </c>
    </row>
    <row r="198" spans="1:4" s="682" customFormat="1" ht="18" customHeight="1" x14ac:dyDescent="0.35">
      <c r="A198" s="684" t="s">
        <v>769</v>
      </c>
      <c r="B198" s="719"/>
      <c r="C198" s="684"/>
      <c r="D198" s="857">
        <f>SUM(D194:D197)</f>
        <v>1675038.1</v>
      </c>
    </row>
    <row r="199" spans="1:4" s="682" customFormat="1" ht="18" customHeight="1" x14ac:dyDescent="0.35">
      <c r="A199" s="684"/>
      <c r="B199" s="719"/>
      <c r="C199" s="684"/>
      <c r="D199" s="857"/>
    </row>
    <row r="200" spans="1:4" x14ac:dyDescent="0.35">
      <c r="A200" s="684" t="s">
        <v>744</v>
      </c>
      <c r="B200" s="719">
        <v>44561</v>
      </c>
      <c r="C200" s="684" t="s">
        <v>714</v>
      </c>
      <c r="D200" s="857">
        <v>26763.3</v>
      </c>
    </row>
    <row r="201" spans="1:4" x14ac:dyDescent="0.35">
      <c r="A201" s="684" t="s">
        <v>744</v>
      </c>
      <c r="B201" s="719">
        <v>44561</v>
      </c>
      <c r="C201" s="684" t="s">
        <v>707</v>
      </c>
      <c r="D201" s="857">
        <v>29799</v>
      </c>
    </row>
    <row r="202" spans="1:4" x14ac:dyDescent="0.35">
      <c r="A202" s="684" t="s">
        <v>744</v>
      </c>
      <c r="B202" s="719">
        <v>44561</v>
      </c>
      <c r="C202" s="684" t="s">
        <v>709</v>
      </c>
      <c r="D202" s="857">
        <v>164186.26999999999</v>
      </c>
    </row>
    <row r="203" spans="1:4" x14ac:dyDescent="0.35">
      <c r="A203" s="684" t="s">
        <v>744</v>
      </c>
      <c r="B203" s="719">
        <v>44561</v>
      </c>
      <c r="C203" s="684" t="s">
        <v>712</v>
      </c>
      <c r="D203" s="857">
        <v>70</v>
      </c>
    </row>
    <row r="204" spans="1:4" x14ac:dyDescent="0.35">
      <c r="A204" s="684" t="s">
        <v>744</v>
      </c>
      <c r="B204" s="719">
        <v>44561</v>
      </c>
      <c r="C204" s="684" t="s">
        <v>713</v>
      </c>
      <c r="D204" s="857">
        <v>2135</v>
      </c>
    </row>
    <row r="205" spans="1:4" s="682" customFormat="1" x14ac:dyDescent="0.35">
      <c r="A205" s="684" t="s">
        <v>769</v>
      </c>
      <c r="B205" s="719"/>
      <c r="C205" s="684"/>
      <c r="D205" s="857">
        <f>SUM(D200:D204)</f>
        <v>222953.57</v>
      </c>
    </row>
    <row r="206" spans="1:4" s="682" customFormat="1" x14ac:dyDescent="0.35">
      <c r="A206" s="684"/>
      <c r="B206" s="719"/>
      <c r="C206" s="684"/>
      <c r="D206" s="857"/>
    </row>
    <row r="207" spans="1:4" x14ac:dyDescent="0.35">
      <c r="A207" s="684" t="s">
        <v>745</v>
      </c>
      <c r="B207" s="719">
        <v>44561</v>
      </c>
      <c r="C207" s="684" t="s">
        <v>712</v>
      </c>
      <c r="D207" s="857">
        <v>131.9</v>
      </c>
    </row>
    <row r="208" spans="1:4" x14ac:dyDescent="0.35">
      <c r="A208" s="684" t="s">
        <v>745</v>
      </c>
      <c r="B208" s="719">
        <v>44561</v>
      </c>
      <c r="C208" s="684" t="s">
        <v>714</v>
      </c>
      <c r="D208" s="857">
        <v>168425.4</v>
      </c>
    </row>
    <row r="209" spans="1:4" x14ac:dyDescent="0.35">
      <c r="A209" s="684" t="s">
        <v>745</v>
      </c>
      <c r="B209" s="719">
        <v>44561</v>
      </c>
      <c r="C209" s="684" t="s">
        <v>713</v>
      </c>
      <c r="D209" s="857">
        <v>11498.5</v>
      </c>
    </row>
    <row r="210" spans="1:4" x14ac:dyDescent="0.35">
      <c r="A210" s="684" t="s">
        <v>745</v>
      </c>
      <c r="B210" s="719">
        <v>44561</v>
      </c>
      <c r="C210" s="684" t="s">
        <v>709</v>
      </c>
      <c r="D210" s="857">
        <v>125977.05</v>
      </c>
    </row>
    <row r="211" spans="1:4" x14ac:dyDescent="0.35">
      <c r="A211" s="684" t="s">
        <v>745</v>
      </c>
      <c r="B211" s="719">
        <v>44561</v>
      </c>
      <c r="C211" s="684" t="s">
        <v>707</v>
      </c>
      <c r="D211" s="857">
        <v>534909</v>
      </c>
    </row>
    <row r="212" spans="1:4" s="682" customFormat="1" x14ac:dyDescent="0.35">
      <c r="A212" s="684" t="s">
        <v>769</v>
      </c>
      <c r="B212" s="719"/>
      <c r="C212" s="684"/>
      <c r="D212" s="857">
        <f>SUM(D207:D211)</f>
        <v>840941.85</v>
      </c>
    </row>
    <row r="213" spans="1:4" s="682" customFormat="1" x14ac:dyDescent="0.35">
      <c r="A213" s="684"/>
      <c r="B213" s="719"/>
      <c r="C213" s="684"/>
      <c r="D213" s="857"/>
    </row>
    <row r="214" spans="1:4" x14ac:dyDescent="0.35">
      <c r="A214" s="684" t="s">
        <v>746</v>
      </c>
      <c r="B214" s="719">
        <v>44561</v>
      </c>
      <c r="C214" s="684" t="s">
        <v>714</v>
      </c>
      <c r="D214" s="857">
        <v>1521.1</v>
      </c>
    </row>
    <row r="215" spans="1:4" x14ac:dyDescent="0.35">
      <c r="A215" s="684" t="s">
        <v>746</v>
      </c>
      <c r="B215" s="719">
        <v>44561</v>
      </c>
      <c r="C215" s="684" t="s">
        <v>707</v>
      </c>
      <c r="D215" s="857">
        <v>52738</v>
      </c>
    </row>
    <row r="216" spans="1:4" x14ac:dyDescent="0.35">
      <c r="A216" s="684" t="s">
        <v>746</v>
      </c>
      <c r="B216" s="719">
        <v>44561</v>
      </c>
      <c r="C216" s="684" t="s">
        <v>709</v>
      </c>
      <c r="D216" s="857">
        <v>13344.67</v>
      </c>
    </row>
    <row r="217" spans="1:4" s="682" customFormat="1" x14ac:dyDescent="0.35">
      <c r="A217" s="684" t="s">
        <v>769</v>
      </c>
      <c r="B217" s="719"/>
      <c r="C217" s="684"/>
      <c r="D217" s="857">
        <f>SUM(D214:D216)</f>
        <v>67603.77</v>
      </c>
    </row>
    <row r="218" spans="1:4" s="682" customFormat="1" x14ac:dyDescent="0.35">
      <c r="A218" s="684"/>
      <c r="B218" s="719"/>
      <c r="C218" s="684"/>
      <c r="D218" s="857"/>
    </row>
    <row r="219" spans="1:4" x14ac:dyDescent="0.35">
      <c r="A219" s="684" t="s">
        <v>748</v>
      </c>
      <c r="B219" s="719">
        <v>44561</v>
      </c>
      <c r="C219" s="684" t="s">
        <v>713</v>
      </c>
      <c r="D219" s="857">
        <v>2962</v>
      </c>
    </row>
    <row r="220" spans="1:4" x14ac:dyDescent="0.35">
      <c r="A220" s="684" t="s">
        <v>748</v>
      </c>
      <c r="B220" s="719">
        <v>44561</v>
      </c>
      <c r="C220" s="684" t="s">
        <v>714</v>
      </c>
      <c r="D220" s="857">
        <v>79960.899999999994</v>
      </c>
    </row>
    <row r="221" spans="1:4" x14ac:dyDescent="0.35">
      <c r="A221" s="684" t="s">
        <v>748</v>
      </c>
      <c r="B221" s="719">
        <v>44561</v>
      </c>
      <c r="C221" s="684" t="s">
        <v>712</v>
      </c>
      <c r="D221" s="857">
        <v>1121.5</v>
      </c>
    </row>
    <row r="222" spans="1:4" x14ac:dyDescent="0.35">
      <c r="A222" s="684" t="s">
        <v>748</v>
      </c>
      <c r="B222" s="719">
        <v>44561</v>
      </c>
      <c r="C222" s="684" t="s">
        <v>709</v>
      </c>
      <c r="D222" s="857">
        <v>298753.21999999997</v>
      </c>
    </row>
    <row r="223" spans="1:4" s="682" customFormat="1" x14ac:dyDescent="0.35">
      <c r="A223" s="684" t="s">
        <v>769</v>
      </c>
      <c r="B223" s="719"/>
      <c r="C223" s="684"/>
      <c r="D223" s="857">
        <f>SUM(D219:D222)</f>
        <v>382797.62</v>
      </c>
    </row>
    <row r="224" spans="1:4" s="682" customFormat="1" x14ac:dyDescent="0.35">
      <c r="A224" s="684"/>
      <c r="B224" s="719"/>
      <c r="C224" s="684"/>
      <c r="D224" s="857"/>
    </row>
    <row r="225" spans="1:4" x14ac:dyDescent="0.35">
      <c r="A225" s="684" t="s">
        <v>749</v>
      </c>
      <c r="B225" s="719">
        <v>44561</v>
      </c>
      <c r="C225" s="684" t="s">
        <v>714</v>
      </c>
      <c r="D225" s="857">
        <v>8117.2</v>
      </c>
    </row>
    <row r="226" spans="1:4" x14ac:dyDescent="0.35">
      <c r="A226" s="684" t="s">
        <v>749</v>
      </c>
      <c r="B226" s="719">
        <v>44561</v>
      </c>
      <c r="C226" s="684" t="s">
        <v>707</v>
      </c>
      <c r="D226" s="857">
        <v>29097</v>
      </c>
    </row>
    <row r="227" spans="1:4" x14ac:dyDescent="0.35">
      <c r="A227" s="684" t="s">
        <v>749</v>
      </c>
      <c r="B227" s="719">
        <v>44561</v>
      </c>
      <c r="C227" s="684" t="s">
        <v>712</v>
      </c>
      <c r="D227" s="857">
        <v>85</v>
      </c>
    </row>
    <row r="228" spans="1:4" x14ac:dyDescent="0.35">
      <c r="A228" s="684" t="s">
        <v>749</v>
      </c>
      <c r="B228" s="719">
        <v>44561</v>
      </c>
      <c r="C228" s="684" t="s">
        <v>713</v>
      </c>
      <c r="D228" s="857">
        <v>1213</v>
      </c>
    </row>
    <row r="229" spans="1:4" x14ac:dyDescent="0.35">
      <c r="A229" s="684" t="s">
        <v>749</v>
      </c>
      <c r="B229" s="719">
        <v>44561</v>
      </c>
      <c r="C229" s="684" t="s">
        <v>709</v>
      </c>
      <c r="D229" s="857">
        <v>76237.929999999993</v>
      </c>
    </row>
    <row r="230" spans="1:4" s="682" customFormat="1" x14ac:dyDescent="0.35">
      <c r="A230" s="684" t="s">
        <v>769</v>
      </c>
      <c r="B230" s="719"/>
      <c r="C230" s="684"/>
      <c r="D230" s="857">
        <f>SUM(D225:D229)</f>
        <v>114750.12999999999</v>
      </c>
    </row>
    <row r="231" spans="1:4" s="682" customFormat="1" x14ac:dyDescent="0.35">
      <c r="A231" s="684"/>
      <c r="B231" s="719"/>
      <c r="C231" s="684"/>
      <c r="D231" s="857"/>
    </row>
    <row r="232" spans="1:4" x14ac:dyDescent="0.35">
      <c r="A232" s="684" t="s">
        <v>750</v>
      </c>
      <c r="B232" s="719">
        <v>44561</v>
      </c>
      <c r="C232" s="684" t="s">
        <v>714</v>
      </c>
      <c r="D232" s="857">
        <v>233650.8</v>
      </c>
    </row>
    <row r="233" spans="1:4" x14ac:dyDescent="0.35">
      <c r="A233" s="684" t="s">
        <v>750</v>
      </c>
      <c r="B233" s="719">
        <v>44561</v>
      </c>
      <c r="C233" s="684" t="s">
        <v>712</v>
      </c>
      <c r="D233" s="857">
        <v>110</v>
      </c>
    </row>
    <row r="234" spans="1:4" x14ac:dyDescent="0.35">
      <c r="A234" s="684" t="s">
        <v>750</v>
      </c>
      <c r="B234" s="719">
        <v>44561</v>
      </c>
      <c r="C234" s="684" t="s">
        <v>707</v>
      </c>
      <c r="D234" s="857">
        <v>583294</v>
      </c>
    </row>
    <row r="235" spans="1:4" x14ac:dyDescent="0.35">
      <c r="A235" s="684" t="s">
        <v>750</v>
      </c>
      <c r="B235" s="719">
        <v>44561</v>
      </c>
      <c r="C235" s="684" t="s">
        <v>713</v>
      </c>
      <c r="D235" s="857">
        <v>2324.5</v>
      </c>
    </row>
    <row r="236" spans="1:4" x14ac:dyDescent="0.35">
      <c r="A236" s="684" t="s">
        <v>750</v>
      </c>
      <c r="B236" s="719">
        <v>44561</v>
      </c>
      <c r="C236" s="684" t="s">
        <v>709</v>
      </c>
      <c r="D236" s="857">
        <v>133411.66</v>
      </c>
    </row>
    <row r="237" spans="1:4" s="682" customFormat="1" x14ac:dyDescent="0.35">
      <c r="A237" s="684" t="s">
        <v>769</v>
      </c>
      <c r="B237" s="719"/>
      <c r="C237" s="684"/>
      <c r="D237" s="857">
        <f>SUM(D232:D236)</f>
        <v>952790.96000000008</v>
      </c>
    </row>
    <row r="238" spans="1:4" s="682" customFormat="1" x14ac:dyDescent="0.35">
      <c r="A238" s="684"/>
      <c r="B238" s="719"/>
      <c r="C238" s="684"/>
      <c r="D238" s="857"/>
    </row>
    <row r="239" spans="1:4" x14ac:dyDescent="0.35">
      <c r="A239" s="684" t="s">
        <v>751</v>
      </c>
      <c r="B239" s="719">
        <v>44561</v>
      </c>
      <c r="C239" s="684" t="s">
        <v>712</v>
      </c>
      <c r="D239" s="857">
        <v>150</v>
      </c>
    </row>
    <row r="240" spans="1:4" x14ac:dyDescent="0.35">
      <c r="A240" s="684" t="s">
        <v>751</v>
      </c>
      <c r="B240" s="719">
        <v>44561</v>
      </c>
      <c r="C240" s="684" t="s">
        <v>718</v>
      </c>
      <c r="D240" s="857">
        <v>-63000</v>
      </c>
    </row>
    <row r="241" spans="1:4" x14ac:dyDescent="0.35">
      <c r="A241" s="684" t="s">
        <v>751</v>
      </c>
      <c r="B241" s="719">
        <v>44561</v>
      </c>
      <c r="C241" s="684" t="s">
        <v>714</v>
      </c>
      <c r="D241" s="857">
        <v>152505.60000000001</v>
      </c>
    </row>
    <row r="242" spans="1:4" x14ac:dyDescent="0.35">
      <c r="A242" s="684" t="s">
        <v>751</v>
      </c>
      <c r="B242" s="719">
        <v>44561</v>
      </c>
      <c r="C242" s="684" t="s">
        <v>713</v>
      </c>
      <c r="D242" s="857">
        <v>7198.5</v>
      </c>
    </row>
    <row r="243" spans="1:4" x14ac:dyDescent="0.35">
      <c r="A243" s="684" t="s">
        <v>751</v>
      </c>
      <c r="B243" s="719">
        <v>44561</v>
      </c>
      <c r="C243" s="684" t="s">
        <v>707</v>
      </c>
      <c r="D243" s="857">
        <v>686953</v>
      </c>
    </row>
    <row r="244" spans="1:4" x14ac:dyDescent="0.35">
      <c r="A244" s="684" t="s">
        <v>751</v>
      </c>
      <c r="B244" s="719">
        <v>44561</v>
      </c>
      <c r="C244" s="684" t="s">
        <v>709</v>
      </c>
      <c r="D244" s="857">
        <v>14767.52</v>
      </c>
    </row>
    <row r="245" spans="1:4" s="682" customFormat="1" x14ac:dyDescent="0.35">
      <c r="A245" s="684" t="s">
        <v>769</v>
      </c>
      <c r="B245" s="719"/>
      <c r="C245" s="684"/>
      <c r="D245" s="857">
        <f>SUM(D239:D244)</f>
        <v>798574.62</v>
      </c>
    </row>
    <row r="246" spans="1:4" s="682" customFormat="1" x14ac:dyDescent="0.35">
      <c r="A246" s="684"/>
      <c r="B246" s="719"/>
      <c r="C246" s="684"/>
      <c r="D246" s="857"/>
    </row>
    <row r="247" spans="1:4" x14ac:dyDescent="0.35">
      <c r="A247" s="684" t="s">
        <v>752</v>
      </c>
      <c r="B247" s="719">
        <v>44561</v>
      </c>
      <c r="C247" s="684" t="s">
        <v>709</v>
      </c>
      <c r="D247" s="857">
        <v>38351.599999999999</v>
      </c>
    </row>
    <row r="248" spans="1:4" x14ac:dyDescent="0.35">
      <c r="A248" s="684" t="s">
        <v>752</v>
      </c>
      <c r="B248" s="719">
        <v>44561</v>
      </c>
      <c r="C248" s="684" t="s">
        <v>714</v>
      </c>
      <c r="D248" s="857">
        <v>10389.1</v>
      </c>
    </row>
    <row r="249" spans="1:4" s="682" customFormat="1" x14ac:dyDescent="0.35">
      <c r="A249" s="684" t="s">
        <v>769</v>
      </c>
      <c r="B249" s="719"/>
      <c r="C249" s="684"/>
      <c r="D249" s="857">
        <f>SUM(D247:D248)</f>
        <v>48740.7</v>
      </c>
    </row>
    <row r="250" spans="1:4" s="682" customFormat="1" x14ac:dyDescent="0.35">
      <c r="A250" s="684"/>
      <c r="B250" s="719"/>
      <c r="C250" s="684"/>
      <c r="D250" s="857"/>
    </row>
    <row r="251" spans="1:4" x14ac:dyDescent="0.35">
      <c r="A251" s="684" t="s">
        <v>753</v>
      </c>
      <c r="B251" s="719">
        <v>44561</v>
      </c>
      <c r="C251" s="684" t="s">
        <v>714</v>
      </c>
      <c r="D251" s="857">
        <v>30852.400000000001</v>
      </c>
    </row>
    <row r="252" spans="1:4" x14ac:dyDescent="0.35">
      <c r="A252" s="684" t="s">
        <v>753</v>
      </c>
      <c r="B252" s="719">
        <v>44561</v>
      </c>
      <c r="C252" s="684" t="s">
        <v>707</v>
      </c>
      <c r="D252" s="857">
        <v>210769</v>
      </c>
    </row>
    <row r="253" spans="1:4" x14ac:dyDescent="0.35">
      <c r="A253" s="684" t="s">
        <v>753</v>
      </c>
      <c r="B253" s="719">
        <v>44561</v>
      </c>
      <c r="C253" s="684" t="s">
        <v>713</v>
      </c>
      <c r="D253" s="857">
        <v>651</v>
      </c>
    </row>
    <row r="254" spans="1:4" s="682" customFormat="1" x14ac:dyDescent="0.35">
      <c r="A254" s="684" t="s">
        <v>769</v>
      </c>
      <c r="B254" s="719"/>
      <c r="C254" s="684"/>
      <c r="D254" s="857">
        <f>SUM(D251:D253)</f>
        <v>242272.4</v>
      </c>
    </row>
    <row r="255" spans="1:4" s="682" customFormat="1" x14ac:dyDescent="0.35">
      <c r="A255" s="684"/>
      <c r="B255" s="719"/>
      <c r="C255" s="684"/>
      <c r="D255" s="857"/>
    </row>
    <row r="256" spans="1:4" x14ac:dyDescent="0.35">
      <c r="A256" s="684" t="s">
        <v>754</v>
      </c>
      <c r="B256" s="719">
        <v>44561</v>
      </c>
      <c r="C256" s="684" t="s">
        <v>707</v>
      </c>
      <c r="D256" s="857">
        <v>2871042</v>
      </c>
    </row>
    <row r="257" spans="1:4" x14ac:dyDescent="0.35">
      <c r="A257" s="684" t="s">
        <v>754</v>
      </c>
      <c r="B257" s="719">
        <v>44561</v>
      </c>
      <c r="C257" s="684" t="s">
        <v>709</v>
      </c>
      <c r="D257" s="857">
        <v>2565987.63</v>
      </c>
    </row>
    <row r="258" spans="1:4" x14ac:dyDescent="0.35">
      <c r="A258" s="684" t="s">
        <v>754</v>
      </c>
      <c r="B258" s="719">
        <v>44561</v>
      </c>
      <c r="C258" s="684" t="s">
        <v>712</v>
      </c>
      <c r="D258" s="857">
        <v>3478.6</v>
      </c>
    </row>
    <row r="259" spans="1:4" x14ac:dyDescent="0.35">
      <c r="A259" s="684" t="s">
        <v>754</v>
      </c>
      <c r="B259" s="719">
        <v>44561</v>
      </c>
      <c r="C259" s="684" t="s">
        <v>714</v>
      </c>
      <c r="D259" s="857">
        <v>639938.4</v>
      </c>
    </row>
    <row r="260" spans="1:4" x14ac:dyDescent="0.35">
      <c r="A260" s="684" t="s">
        <v>754</v>
      </c>
      <c r="B260" s="719">
        <v>44561</v>
      </c>
      <c r="C260" s="684" t="s">
        <v>722</v>
      </c>
      <c r="D260" s="857">
        <v>-119667.04</v>
      </c>
    </row>
    <row r="261" spans="1:4" x14ac:dyDescent="0.35">
      <c r="A261" s="684" t="s">
        <v>754</v>
      </c>
      <c r="B261" s="719">
        <v>44561</v>
      </c>
      <c r="C261" s="684" t="s">
        <v>713</v>
      </c>
      <c r="D261" s="857">
        <v>11706</v>
      </c>
    </row>
    <row r="262" spans="1:4" x14ac:dyDescent="0.35">
      <c r="A262" s="684" t="s">
        <v>754</v>
      </c>
      <c r="B262" s="719">
        <v>44561</v>
      </c>
      <c r="C262" s="684" t="s">
        <v>719</v>
      </c>
      <c r="D262" s="857">
        <v>1091.31</v>
      </c>
    </row>
    <row r="263" spans="1:4" s="682" customFormat="1" x14ac:dyDescent="0.35">
      <c r="A263" s="684" t="s">
        <v>769</v>
      </c>
      <c r="B263" s="719"/>
      <c r="C263" s="684"/>
      <c r="D263" s="857">
        <f>SUM(D256:D262)</f>
        <v>5973576.8999999994</v>
      </c>
    </row>
    <row r="264" spans="1:4" s="682" customFormat="1" x14ac:dyDescent="0.35">
      <c r="A264" s="684"/>
      <c r="B264" s="719"/>
      <c r="C264" s="684"/>
      <c r="D264" s="857"/>
    </row>
    <row r="265" spans="1:4" x14ac:dyDescent="0.35">
      <c r="A265" s="684" t="s">
        <v>755</v>
      </c>
      <c r="B265" s="719">
        <v>44561</v>
      </c>
      <c r="C265" s="684" t="s">
        <v>712</v>
      </c>
      <c r="D265" s="857">
        <v>627.9</v>
      </c>
    </row>
    <row r="266" spans="1:4" x14ac:dyDescent="0.35">
      <c r="A266" s="684" t="s">
        <v>755</v>
      </c>
      <c r="B266" s="719">
        <v>44561</v>
      </c>
      <c r="C266" s="684" t="s">
        <v>714</v>
      </c>
      <c r="D266" s="857">
        <v>318996.8</v>
      </c>
    </row>
    <row r="267" spans="1:4" x14ac:dyDescent="0.35">
      <c r="A267" s="684" t="s">
        <v>755</v>
      </c>
      <c r="B267" s="719">
        <v>44561</v>
      </c>
      <c r="C267" s="684" t="s">
        <v>709</v>
      </c>
      <c r="D267" s="857">
        <v>12852.32</v>
      </c>
    </row>
    <row r="268" spans="1:4" x14ac:dyDescent="0.35">
      <c r="A268" s="684" t="s">
        <v>755</v>
      </c>
      <c r="B268" s="719">
        <v>44561</v>
      </c>
      <c r="C268" s="684" t="s">
        <v>713</v>
      </c>
      <c r="D268" s="857">
        <v>11339</v>
      </c>
    </row>
    <row r="269" spans="1:4" x14ac:dyDescent="0.35">
      <c r="A269" s="684" t="s">
        <v>755</v>
      </c>
      <c r="B269" s="719">
        <v>44561</v>
      </c>
      <c r="C269" s="684" t="s">
        <v>707</v>
      </c>
      <c r="D269" s="857">
        <v>2186130</v>
      </c>
    </row>
    <row r="270" spans="1:4" s="682" customFormat="1" x14ac:dyDescent="0.35">
      <c r="A270" s="684" t="s">
        <v>769</v>
      </c>
      <c r="B270" s="719"/>
      <c r="C270" s="684"/>
      <c r="D270" s="857">
        <f>SUM(D265:D269)</f>
        <v>2529946.02</v>
      </c>
    </row>
    <row r="271" spans="1:4" s="682" customFormat="1" x14ac:dyDescent="0.35">
      <c r="A271" s="684"/>
      <c r="B271" s="719"/>
      <c r="C271" s="684"/>
      <c r="D271" s="857"/>
    </row>
    <row r="272" spans="1:4" x14ac:dyDescent="0.35">
      <c r="A272" s="684" t="s">
        <v>756</v>
      </c>
      <c r="B272" s="719">
        <v>44561</v>
      </c>
      <c r="C272" s="684" t="s">
        <v>709</v>
      </c>
      <c r="D272" s="857">
        <v>16524.41</v>
      </c>
    </row>
    <row r="273" spans="1:4" s="682" customFormat="1" x14ac:dyDescent="0.35">
      <c r="A273" s="684" t="s">
        <v>769</v>
      </c>
      <c r="B273" s="719"/>
      <c r="C273" s="684"/>
      <c r="D273" s="857">
        <f>SUM(D272)</f>
        <v>16524.41</v>
      </c>
    </row>
    <row r="274" spans="1:4" s="682" customFormat="1" x14ac:dyDescent="0.35">
      <c r="A274" s="684"/>
      <c r="B274" s="719"/>
      <c r="C274" s="684"/>
      <c r="D274" s="857"/>
    </row>
    <row r="275" spans="1:4" x14ac:dyDescent="0.35">
      <c r="A275" s="684" t="s">
        <v>757</v>
      </c>
      <c r="B275" s="719">
        <v>44561</v>
      </c>
      <c r="C275" s="684" t="s">
        <v>707</v>
      </c>
      <c r="D275" s="857">
        <v>64040</v>
      </c>
    </row>
    <row r="276" spans="1:4" x14ac:dyDescent="0.35">
      <c r="A276" s="684" t="s">
        <v>757</v>
      </c>
      <c r="B276" s="719">
        <v>44561</v>
      </c>
      <c r="C276" s="684" t="s">
        <v>714</v>
      </c>
      <c r="D276" s="857">
        <v>6364</v>
      </c>
    </row>
    <row r="277" spans="1:4" x14ac:dyDescent="0.35">
      <c r="A277" s="684" t="s">
        <v>757</v>
      </c>
      <c r="B277" s="719">
        <v>44561</v>
      </c>
      <c r="C277" s="684" t="s">
        <v>709</v>
      </c>
      <c r="D277" s="857">
        <v>7429.77</v>
      </c>
    </row>
    <row r="278" spans="1:4" s="682" customFormat="1" x14ac:dyDescent="0.35">
      <c r="A278" s="684" t="s">
        <v>769</v>
      </c>
      <c r="B278" s="719"/>
      <c r="C278" s="684"/>
      <c r="D278" s="857">
        <f>SUM(D275:D277)</f>
        <v>77833.77</v>
      </c>
    </row>
    <row r="279" spans="1:4" s="682" customFormat="1" x14ac:dyDescent="0.35">
      <c r="A279" s="684"/>
      <c r="B279" s="719"/>
      <c r="C279" s="684"/>
      <c r="D279" s="857"/>
    </row>
    <row r="280" spans="1:4" x14ac:dyDescent="0.35">
      <c r="A280" s="684" t="s">
        <v>758</v>
      </c>
      <c r="B280" s="719">
        <v>44561</v>
      </c>
      <c r="C280" s="684" t="s">
        <v>709</v>
      </c>
      <c r="D280" s="857">
        <v>61848.74</v>
      </c>
    </row>
    <row r="281" spans="1:4" s="682" customFormat="1" x14ac:dyDescent="0.35">
      <c r="A281" s="684" t="s">
        <v>769</v>
      </c>
      <c r="B281" s="719"/>
      <c r="C281" s="684"/>
      <c r="D281" s="857">
        <f>SUM(D280)</f>
        <v>61848.74</v>
      </c>
    </row>
    <row r="282" spans="1:4" s="682" customFormat="1" x14ac:dyDescent="0.35">
      <c r="A282" s="684"/>
      <c r="B282" s="719"/>
      <c r="C282" s="684"/>
      <c r="D282" s="857"/>
    </row>
    <row r="283" spans="1:4" x14ac:dyDescent="0.35">
      <c r="A283" s="684" t="s">
        <v>759</v>
      </c>
      <c r="B283" s="719">
        <v>44561</v>
      </c>
      <c r="C283" s="684" t="s">
        <v>714</v>
      </c>
      <c r="D283" s="857">
        <v>980805.3</v>
      </c>
    </row>
    <row r="284" spans="1:4" x14ac:dyDescent="0.35">
      <c r="A284" s="684" t="s">
        <v>759</v>
      </c>
      <c r="B284" s="719">
        <v>44561</v>
      </c>
      <c r="C284" s="684" t="s">
        <v>719</v>
      </c>
      <c r="D284" s="857">
        <v>12317.6</v>
      </c>
    </row>
    <row r="285" spans="1:4" x14ac:dyDescent="0.35">
      <c r="A285" s="684" t="s">
        <v>759</v>
      </c>
      <c r="B285" s="719">
        <v>44561</v>
      </c>
      <c r="C285" s="684" t="s">
        <v>712</v>
      </c>
      <c r="D285" s="857">
        <v>4937.3</v>
      </c>
    </row>
    <row r="286" spans="1:4" x14ac:dyDescent="0.35">
      <c r="A286" s="684" t="s">
        <v>759</v>
      </c>
      <c r="B286" s="719">
        <v>44561</v>
      </c>
      <c r="C286" s="684" t="s">
        <v>713</v>
      </c>
      <c r="D286" s="857">
        <v>27152</v>
      </c>
    </row>
    <row r="287" spans="1:4" x14ac:dyDescent="0.35">
      <c r="A287" s="684" t="s">
        <v>759</v>
      </c>
      <c r="B287" s="719">
        <v>44561</v>
      </c>
      <c r="C287" s="684" t="s">
        <v>709</v>
      </c>
      <c r="D287" s="857">
        <v>249984.81</v>
      </c>
    </row>
    <row r="288" spans="1:4" x14ac:dyDescent="0.35">
      <c r="A288" s="684" t="s">
        <v>759</v>
      </c>
      <c r="B288" s="719">
        <v>44561</v>
      </c>
      <c r="C288" s="684" t="s">
        <v>707</v>
      </c>
      <c r="D288" s="857">
        <v>4304007</v>
      </c>
    </row>
    <row r="289" spans="1:4" s="682" customFormat="1" x14ac:dyDescent="0.35">
      <c r="A289" s="684" t="s">
        <v>769</v>
      </c>
      <c r="B289" s="719"/>
      <c r="C289" s="684"/>
      <c r="D289" s="857">
        <f>SUM(D283:D288)</f>
        <v>5579204.0099999998</v>
      </c>
    </row>
    <row r="290" spans="1:4" s="682" customFormat="1" x14ac:dyDescent="0.35">
      <c r="A290" s="684"/>
      <c r="B290" s="719"/>
      <c r="C290" s="684"/>
      <c r="D290" s="857"/>
    </row>
    <row r="291" spans="1:4" x14ac:dyDescent="0.35">
      <c r="A291" s="684" t="s">
        <v>761</v>
      </c>
      <c r="B291" s="719">
        <v>44561</v>
      </c>
      <c r="C291" s="684" t="s">
        <v>707</v>
      </c>
      <c r="D291" s="857">
        <v>8749</v>
      </c>
    </row>
    <row r="292" spans="1:4" s="682" customFormat="1" x14ac:dyDescent="0.35">
      <c r="A292" s="684" t="s">
        <v>769</v>
      </c>
      <c r="B292" s="719"/>
      <c r="C292" s="684"/>
      <c r="D292" s="857">
        <f>SUM(D291)</f>
        <v>8749</v>
      </c>
    </row>
    <row r="293" spans="1:4" s="682" customFormat="1" x14ac:dyDescent="0.35">
      <c r="A293" s="684"/>
      <c r="B293" s="719"/>
      <c r="C293" s="684"/>
      <c r="D293" s="857"/>
    </row>
    <row r="294" spans="1:4" x14ac:dyDescent="0.35">
      <c r="A294" s="684" t="s">
        <v>762</v>
      </c>
      <c r="B294" s="719">
        <v>44561</v>
      </c>
      <c r="C294" s="684" t="s">
        <v>707</v>
      </c>
      <c r="D294" s="857">
        <v>7752</v>
      </c>
    </row>
    <row r="295" spans="1:4" s="682" customFormat="1" x14ac:dyDescent="0.35">
      <c r="A295" s="684" t="s">
        <v>769</v>
      </c>
      <c r="B295" s="719"/>
      <c r="C295" s="684"/>
      <c r="D295" s="857">
        <f>SUM(D294)</f>
        <v>7752</v>
      </c>
    </row>
    <row r="296" spans="1:4" s="682" customFormat="1" x14ac:dyDescent="0.35">
      <c r="A296" s="684"/>
      <c r="B296" s="719"/>
      <c r="C296" s="684"/>
      <c r="D296" s="857"/>
    </row>
    <row r="297" spans="1:4" x14ac:dyDescent="0.35">
      <c r="A297" s="684" t="s">
        <v>763</v>
      </c>
      <c r="B297" s="719">
        <v>44561</v>
      </c>
      <c r="C297" s="684" t="s">
        <v>724</v>
      </c>
      <c r="D297" s="857">
        <v>0</v>
      </c>
    </row>
    <row r="298" spans="1:4" x14ac:dyDescent="0.35">
      <c r="A298" s="684" t="s">
        <v>763</v>
      </c>
      <c r="B298" s="719">
        <v>44561</v>
      </c>
      <c r="C298" s="684" t="s">
        <v>713</v>
      </c>
      <c r="D298" s="857">
        <v>32</v>
      </c>
    </row>
    <row r="299" spans="1:4" x14ac:dyDescent="0.35">
      <c r="A299" s="684" t="s">
        <v>763</v>
      </c>
      <c r="B299" s="719">
        <v>44561</v>
      </c>
      <c r="C299" s="684" t="s">
        <v>714</v>
      </c>
      <c r="D299" s="857">
        <v>20850.7</v>
      </c>
    </row>
    <row r="300" spans="1:4" x14ac:dyDescent="0.35">
      <c r="A300" s="684" t="s">
        <v>763</v>
      </c>
      <c r="B300" s="719">
        <v>44561</v>
      </c>
      <c r="C300" s="684" t="s">
        <v>707</v>
      </c>
      <c r="D300" s="857">
        <v>164185</v>
      </c>
    </row>
    <row r="301" spans="1:4" s="682" customFormat="1" x14ac:dyDescent="0.35">
      <c r="A301" s="684" t="s">
        <v>769</v>
      </c>
      <c r="B301" s="719"/>
      <c r="C301" s="684"/>
      <c r="D301" s="857">
        <f>SUM(D297:D300)</f>
        <v>185067.7</v>
      </c>
    </row>
    <row r="302" spans="1:4" s="682" customFormat="1" x14ac:dyDescent="0.35">
      <c r="A302" s="684"/>
      <c r="B302" s="719"/>
      <c r="C302" s="684"/>
      <c r="D302" s="857"/>
    </row>
    <row r="303" spans="1:4" x14ac:dyDescent="0.35">
      <c r="A303" s="684" t="s">
        <v>764</v>
      </c>
      <c r="B303" s="719">
        <v>44561</v>
      </c>
      <c r="C303" s="684" t="s">
        <v>714</v>
      </c>
      <c r="D303" s="857">
        <v>2861.1</v>
      </c>
    </row>
    <row r="304" spans="1:4" x14ac:dyDescent="0.35">
      <c r="A304" s="684" t="s">
        <v>764</v>
      </c>
      <c r="B304" s="719">
        <v>44561</v>
      </c>
      <c r="C304" s="684" t="s">
        <v>713</v>
      </c>
      <c r="D304" s="857">
        <v>514</v>
      </c>
    </row>
    <row r="305" spans="1:4" x14ac:dyDescent="0.35">
      <c r="A305" s="684" t="s">
        <v>764</v>
      </c>
      <c r="B305" s="719">
        <v>44561</v>
      </c>
      <c r="C305" s="684" t="s">
        <v>707</v>
      </c>
      <c r="D305" s="857">
        <v>7947</v>
      </c>
    </row>
    <row r="306" spans="1:4" s="682" customFormat="1" x14ac:dyDescent="0.35">
      <c r="A306" s="684" t="s">
        <v>769</v>
      </c>
      <c r="B306" s="719"/>
      <c r="C306" s="684"/>
      <c r="D306" s="857">
        <f>SUM(D303:D305)</f>
        <v>11322.1</v>
      </c>
    </row>
    <row r="307" spans="1:4" s="682" customFormat="1" x14ac:dyDescent="0.35">
      <c r="A307" s="684"/>
      <c r="B307" s="719"/>
      <c r="C307" s="684"/>
      <c r="D307" s="857"/>
    </row>
    <row r="308" spans="1:4" x14ac:dyDescent="0.35">
      <c r="A308" s="684" t="s">
        <v>765</v>
      </c>
      <c r="B308" s="719">
        <v>44561</v>
      </c>
      <c r="C308" s="684" t="s">
        <v>714</v>
      </c>
      <c r="D308" s="857">
        <v>203100.4</v>
      </c>
    </row>
    <row r="309" spans="1:4" x14ac:dyDescent="0.35">
      <c r="A309" s="684" t="s">
        <v>765</v>
      </c>
      <c r="B309" s="719">
        <v>44561</v>
      </c>
      <c r="C309" s="684" t="s">
        <v>707</v>
      </c>
      <c r="D309" s="857">
        <v>411246</v>
      </c>
    </row>
    <row r="310" spans="1:4" x14ac:dyDescent="0.35">
      <c r="A310" s="684" t="s">
        <v>765</v>
      </c>
      <c r="B310" s="719">
        <v>44561</v>
      </c>
      <c r="C310" s="684" t="s">
        <v>710</v>
      </c>
      <c r="D310" s="857">
        <v>188.78</v>
      </c>
    </row>
    <row r="311" spans="1:4" x14ac:dyDescent="0.35">
      <c r="A311" s="684" t="s">
        <v>765</v>
      </c>
      <c r="B311" s="719">
        <v>44561</v>
      </c>
      <c r="C311" s="684" t="s">
        <v>719</v>
      </c>
      <c r="D311" s="857">
        <v>2941.73</v>
      </c>
    </row>
    <row r="312" spans="1:4" x14ac:dyDescent="0.35">
      <c r="A312" s="684" t="s">
        <v>765</v>
      </c>
      <c r="B312" s="719">
        <v>44561</v>
      </c>
      <c r="C312" s="684" t="s">
        <v>713</v>
      </c>
      <c r="D312" s="857">
        <v>17959.5</v>
      </c>
    </row>
    <row r="313" spans="1:4" x14ac:dyDescent="0.35">
      <c r="A313" s="684" t="s">
        <v>765</v>
      </c>
      <c r="B313" s="719">
        <v>44561</v>
      </c>
      <c r="C313" s="684" t="s">
        <v>709</v>
      </c>
      <c r="D313" s="857">
        <v>23070.22</v>
      </c>
    </row>
    <row r="314" spans="1:4" x14ac:dyDescent="0.35">
      <c r="A314" s="684" t="s">
        <v>765</v>
      </c>
      <c r="B314" s="719">
        <v>44561</v>
      </c>
      <c r="C314" s="684" t="s">
        <v>712</v>
      </c>
      <c r="D314" s="857">
        <v>1465</v>
      </c>
    </row>
    <row r="315" spans="1:4" s="682" customFormat="1" x14ac:dyDescent="0.35">
      <c r="A315" s="684" t="s">
        <v>769</v>
      </c>
      <c r="B315" s="719"/>
      <c r="C315" s="684"/>
      <c r="D315" s="857">
        <f>SUM(D308:D314)</f>
        <v>659971.63</v>
      </c>
    </row>
    <row r="316" spans="1:4" s="682" customFormat="1" x14ac:dyDescent="0.35">
      <c r="A316" s="684"/>
      <c r="B316" s="719"/>
      <c r="C316" s="684"/>
      <c r="D316" s="857"/>
    </row>
    <row r="317" spans="1:4" x14ac:dyDescent="0.35">
      <c r="A317" s="684" t="s">
        <v>766</v>
      </c>
      <c r="B317" s="719">
        <v>44561</v>
      </c>
      <c r="C317" s="684" t="s">
        <v>709</v>
      </c>
      <c r="D317" s="857">
        <v>15362.1</v>
      </c>
    </row>
    <row r="318" spans="1:4" x14ac:dyDescent="0.35">
      <c r="A318" s="684" t="s">
        <v>766</v>
      </c>
      <c r="B318" s="719">
        <v>44561</v>
      </c>
      <c r="C318" s="684" t="s">
        <v>712</v>
      </c>
      <c r="D318" s="857">
        <v>289</v>
      </c>
    </row>
    <row r="319" spans="1:4" x14ac:dyDescent="0.35">
      <c r="A319" s="684" t="s">
        <v>766</v>
      </c>
      <c r="B319" s="719">
        <v>44561</v>
      </c>
      <c r="C319" s="684" t="s">
        <v>707</v>
      </c>
      <c r="D319" s="857">
        <v>357766</v>
      </c>
    </row>
    <row r="320" spans="1:4" x14ac:dyDescent="0.35">
      <c r="A320" s="684" t="s">
        <v>766</v>
      </c>
      <c r="B320" s="719">
        <v>44561</v>
      </c>
      <c r="C320" s="684" t="s">
        <v>713</v>
      </c>
      <c r="D320" s="857">
        <v>3718</v>
      </c>
    </row>
    <row r="321" spans="1:7" x14ac:dyDescent="0.35">
      <c r="A321" s="684" t="s">
        <v>766</v>
      </c>
      <c r="B321" s="719">
        <v>44561</v>
      </c>
      <c r="C321" s="684" t="s">
        <v>714</v>
      </c>
      <c r="D321" s="857">
        <v>105809</v>
      </c>
    </row>
    <row r="322" spans="1:7" s="682" customFormat="1" x14ac:dyDescent="0.35">
      <c r="A322" s="684" t="s">
        <v>769</v>
      </c>
      <c r="B322" s="719"/>
      <c r="C322" s="684"/>
      <c r="D322" s="857">
        <f>SUM(D316:D321)</f>
        <v>482944.1</v>
      </c>
    </row>
    <row r="323" spans="1:7" s="682" customFormat="1" x14ac:dyDescent="0.35">
      <c r="A323" s="684"/>
      <c r="B323" s="719"/>
      <c r="C323" s="684"/>
      <c r="D323" s="857"/>
    </row>
    <row r="324" spans="1:7" x14ac:dyDescent="0.35">
      <c r="A324" s="684" t="s">
        <v>767</v>
      </c>
      <c r="B324" s="719">
        <v>44561</v>
      </c>
      <c r="C324" s="684" t="s">
        <v>707</v>
      </c>
      <c r="D324" s="857">
        <v>21858</v>
      </c>
    </row>
    <row r="325" spans="1:7" x14ac:dyDescent="0.35">
      <c r="A325" s="684" t="s">
        <v>767</v>
      </c>
      <c r="B325" s="719">
        <v>44561</v>
      </c>
      <c r="C325" s="684" t="s">
        <v>709</v>
      </c>
      <c r="D325" s="857">
        <v>18615.490000000002</v>
      </c>
    </row>
    <row r="326" spans="1:7" s="682" customFormat="1" x14ac:dyDescent="0.35">
      <c r="A326" s="684" t="s">
        <v>769</v>
      </c>
      <c r="B326" s="719"/>
      <c r="C326" s="684"/>
      <c r="D326" s="857">
        <f>SUM(D324:D325)</f>
        <v>40473.490000000005</v>
      </c>
    </row>
    <row r="327" spans="1:7" s="682" customFormat="1" x14ac:dyDescent="0.35">
      <c r="A327" s="684"/>
      <c r="B327" s="719"/>
      <c r="C327" s="684"/>
      <c r="D327" s="857"/>
    </row>
    <row r="328" spans="1:7" x14ac:dyDescent="0.35">
      <c r="A328" s="684" t="s">
        <v>768</v>
      </c>
      <c r="B328" s="719">
        <v>44561</v>
      </c>
      <c r="C328" s="684" t="s">
        <v>714</v>
      </c>
      <c r="D328" s="857">
        <v>81277.600000000006</v>
      </c>
    </row>
    <row r="329" spans="1:7" x14ac:dyDescent="0.35">
      <c r="A329" s="684" t="s">
        <v>768</v>
      </c>
      <c r="B329" s="719">
        <v>44561</v>
      </c>
      <c r="C329" s="684" t="s">
        <v>712</v>
      </c>
      <c r="D329" s="857">
        <v>85</v>
      </c>
    </row>
    <row r="330" spans="1:7" x14ac:dyDescent="0.35">
      <c r="A330" s="684" t="s">
        <v>768</v>
      </c>
      <c r="B330" s="719">
        <v>44561</v>
      </c>
      <c r="C330" s="684" t="s">
        <v>713</v>
      </c>
      <c r="D330" s="857">
        <v>613</v>
      </c>
    </row>
    <row r="331" spans="1:7" x14ac:dyDescent="0.35">
      <c r="A331" s="684" t="s">
        <v>768</v>
      </c>
      <c r="B331" s="719">
        <v>44561</v>
      </c>
      <c r="C331" s="684" t="s">
        <v>719</v>
      </c>
      <c r="D331" s="857">
        <v>1552.22</v>
      </c>
    </row>
    <row r="332" spans="1:7" x14ac:dyDescent="0.35">
      <c r="A332" s="684" t="s">
        <v>768</v>
      </c>
      <c r="B332" s="719">
        <v>44561</v>
      </c>
      <c r="C332" s="684" t="s">
        <v>707</v>
      </c>
      <c r="D332" s="857">
        <v>179308</v>
      </c>
    </row>
    <row r="333" spans="1:7" s="682" customFormat="1" x14ac:dyDescent="0.35">
      <c r="A333" s="684" t="s">
        <v>769</v>
      </c>
      <c r="B333" s="719"/>
      <c r="C333" s="684"/>
      <c r="D333" s="857">
        <f>SUM(D327:D332)</f>
        <v>262835.82</v>
      </c>
    </row>
    <row r="334" spans="1:7" x14ac:dyDescent="0.35">
      <c r="A334" s="684"/>
      <c r="B334" s="684"/>
      <c r="C334" s="684"/>
      <c r="D334" s="857">
        <f>SUM(D2:D333)/2</f>
        <v>79798978.219999954</v>
      </c>
      <c r="G334" s="327">
        <v>79798978.219999969</v>
      </c>
    </row>
    <row r="335" spans="1:7" x14ac:dyDescent="0.35">
      <c r="A335" s="684"/>
      <c r="B335" s="684"/>
      <c r="C335" s="684"/>
      <c r="D335" s="857"/>
      <c r="F335" s="591">
        <f>D334-G334</f>
        <v>0</v>
      </c>
    </row>
  </sheetData>
  <sortState xmlns:xlrd2="http://schemas.microsoft.com/office/spreadsheetml/2017/richdata2" ref="A2:D332">
    <sortCondition ref="A1:A332"/>
  </sortState>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CC150-A35D-44A8-A610-71FD2EFB7953}">
  <dimension ref="A1:M49"/>
  <sheetViews>
    <sheetView topLeftCell="A31" workbookViewId="0">
      <selection activeCell="K56" sqref="K56"/>
    </sheetView>
  </sheetViews>
  <sheetFormatPr defaultRowHeight="14.5" x14ac:dyDescent="0.35"/>
  <cols>
    <col min="1" max="7" width="8.90625" style="682"/>
    <col min="8" max="8" width="16.81640625" style="682" customWidth="1"/>
    <col min="9" max="10" width="8.90625" style="682"/>
    <col min="11" max="11" width="17.36328125" style="682" customWidth="1"/>
    <col min="12" max="12" width="8.90625" style="682"/>
    <col min="13" max="13" width="30.08984375" style="682" customWidth="1"/>
  </cols>
  <sheetData>
    <row r="1" spans="1:13" x14ac:dyDescent="0.35">
      <c r="A1" s="858" t="s">
        <v>778</v>
      </c>
      <c r="B1" s="858" t="s">
        <v>779</v>
      </c>
      <c r="C1" s="858" t="s">
        <v>780</v>
      </c>
      <c r="D1" s="858" t="s">
        <v>781</v>
      </c>
      <c r="E1" s="858" t="s">
        <v>782</v>
      </c>
      <c r="F1" s="858" t="s">
        <v>783</v>
      </c>
      <c r="G1" s="858" t="s">
        <v>784</v>
      </c>
      <c r="H1" s="858" t="s">
        <v>785</v>
      </c>
      <c r="I1" s="858" t="s">
        <v>786</v>
      </c>
      <c r="J1" s="859"/>
      <c r="K1" s="858" t="s">
        <v>787</v>
      </c>
      <c r="L1" s="858" t="s">
        <v>788</v>
      </c>
      <c r="M1" s="858" t="s">
        <v>596</v>
      </c>
    </row>
    <row r="2" spans="1:13" x14ac:dyDescent="0.35">
      <c r="A2" s="860"/>
      <c r="B2" s="861" t="s">
        <v>789</v>
      </c>
      <c r="C2" s="861" t="s">
        <v>790</v>
      </c>
      <c r="D2" s="861" t="s">
        <v>791</v>
      </c>
      <c r="E2" s="861" t="s">
        <v>792</v>
      </c>
      <c r="F2" s="862">
        <v>44585</v>
      </c>
      <c r="G2" s="861" t="s">
        <v>793</v>
      </c>
      <c r="H2" s="863">
        <v>316289.53000000003</v>
      </c>
      <c r="I2" s="861" t="s">
        <v>606</v>
      </c>
      <c r="J2" s="864">
        <v>1800000</v>
      </c>
      <c r="K2" s="861" t="s">
        <v>794</v>
      </c>
      <c r="L2" s="861"/>
      <c r="M2" s="861" t="s">
        <v>795</v>
      </c>
    </row>
    <row r="3" spans="1:13" x14ac:dyDescent="0.35">
      <c r="A3" s="860"/>
      <c r="B3" s="861" t="s">
        <v>789</v>
      </c>
      <c r="C3" s="861" t="s">
        <v>796</v>
      </c>
      <c r="D3" s="861" t="s">
        <v>791</v>
      </c>
      <c r="E3" s="861" t="s">
        <v>792</v>
      </c>
      <c r="F3" s="862">
        <v>44585</v>
      </c>
      <c r="G3" s="861" t="s">
        <v>793</v>
      </c>
      <c r="H3" s="863">
        <v>7025974.4199999999</v>
      </c>
      <c r="I3" s="861" t="s">
        <v>606</v>
      </c>
      <c r="J3" s="864" t="s">
        <v>618</v>
      </c>
      <c r="K3" s="861" t="s">
        <v>797</v>
      </c>
      <c r="L3" s="861"/>
      <c r="M3" s="861" t="s">
        <v>798</v>
      </c>
    </row>
    <row r="4" spans="1:13" x14ac:dyDescent="0.35">
      <c r="A4" s="860"/>
      <c r="B4" s="861" t="s">
        <v>799</v>
      </c>
      <c r="C4" s="861" t="s">
        <v>800</v>
      </c>
      <c r="D4" s="861" t="s">
        <v>791</v>
      </c>
      <c r="E4" s="861" t="s">
        <v>792</v>
      </c>
      <c r="F4" s="862">
        <v>44586</v>
      </c>
      <c r="G4" s="861" t="s">
        <v>793</v>
      </c>
      <c r="H4" s="863">
        <v>834669.3</v>
      </c>
      <c r="I4" s="861" t="s">
        <v>606</v>
      </c>
      <c r="J4" s="864">
        <v>4500000</v>
      </c>
      <c r="K4" s="861" t="s">
        <v>801</v>
      </c>
      <c r="L4" s="861"/>
      <c r="M4" s="861" t="s">
        <v>802</v>
      </c>
    </row>
    <row r="5" spans="1:13" x14ac:dyDescent="0.35">
      <c r="A5" s="860"/>
      <c r="B5" s="861" t="s">
        <v>799</v>
      </c>
      <c r="C5" s="861" t="s">
        <v>803</v>
      </c>
      <c r="D5" s="861" t="s">
        <v>791</v>
      </c>
      <c r="E5" s="861" t="s">
        <v>792</v>
      </c>
      <c r="F5" s="862">
        <v>44586</v>
      </c>
      <c r="G5" s="861" t="s">
        <v>793</v>
      </c>
      <c r="H5" s="863">
        <v>63471.32</v>
      </c>
      <c r="I5" s="861" t="s">
        <v>606</v>
      </c>
      <c r="J5" s="864">
        <v>6001000</v>
      </c>
      <c r="K5" s="861" t="s">
        <v>804</v>
      </c>
      <c r="L5" s="861"/>
      <c r="M5" s="861" t="s">
        <v>805</v>
      </c>
    </row>
    <row r="6" spans="1:13" x14ac:dyDescent="0.35">
      <c r="A6" s="860"/>
      <c r="B6" s="861" t="s">
        <v>799</v>
      </c>
      <c r="C6" s="861" t="s">
        <v>806</v>
      </c>
      <c r="D6" s="861" t="s">
        <v>791</v>
      </c>
      <c r="E6" s="861" t="s">
        <v>792</v>
      </c>
      <c r="F6" s="862">
        <v>44586</v>
      </c>
      <c r="G6" s="861" t="s">
        <v>793</v>
      </c>
      <c r="H6" s="863">
        <v>1040193.44</v>
      </c>
      <c r="I6" s="861" t="s">
        <v>606</v>
      </c>
      <c r="J6" s="864" t="s">
        <v>542</v>
      </c>
      <c r="K6" s="861" t="s">
        <v>807</v>
      </c>
      <c r="L6" s="861"/>
      <c r="M6" s="861" t="s">
        <v>808</v>
      </c>
    </row>
    <row r="7" spans="1:13" x14ac:dyDescent="0.35">
      <c r="A7" s="860"/>
      <c r="B7" s="861" t="s">
        <v>799</v>
      </c>
      <c r="C7" s="861" t="s">
        <v>809</v>
      </c>
      <c r="D7" s="861" t="s">
        <v>791</v>
      </c>
      <c r="E7" s="861" t="s">
        <v>792</v>
      </c>
      <c r="F7" s="862">
        <v>44586</v>
      </c>
      <c r="G7" s="861" t="s">
        <v>793</v>
      </c>
      <c r="H7" s="863">
        <v>75561.19</v>
      </c>
      <c r="I7" s="861" t="s">
        <v>606</v>
      </c>
      <c r="J7" s="864" t="s">
        <v>624</v>
      </c>
      <c r="K7" s="861" t="s">
        <v>807</v>
      </c>
      <c r="L7" s="861"/>
      <c r="M7" s="861" t="s">
        <v>810</v>
      </c>
    </row>
    <row r="8" spans="1:13" x14ac:dyDescent="0.35">
      <c r="A8" s="860"/>
      <c r="B8" s="861" t="s">
        <v>799</v>
      </c>
      <c r="C8" s="861" t="s">
        <v>811</v>
      </c>
      <c r="D8" s="861" t="s">
        <v>791</v>
      </c>
      <c r="E8" s="861" t="s">
        <v>792</v>
      </c>
      <c r="F8" s="862">
        <v>44586</v>
      </c>
      <c r="G8" s="861" t="s">
        <v>793</v>
      </c>
      <c r="H8" s="863">
        <v>113043.31</v>
      </c>
      <c r="I8" s="861" t="s">
        <v>606</v>
      </c>
      <c r="J8" s="864" t="s">
        <v>566</v>
      </c>
      <c r="K8" s="861" t="s">
        <v>807</v>
      </c>
      <c r="L8" s="861"/>
      <c r="M8" s="861" t="s">
        <v>812</v>
      </c>
    </row>
    <row r="9" spans="1:13" x14ac:dyDescent="0.35">
      <c r="A9" s="860"/>
      <c r="B9" s="861" t="s">
        <v>799</v>
      </c>
      <c r="C9" s="861" t="s">
        <v>813</v>
      </c>
      <c r="D9" s="861" t="s">
        <v>791</v>
      </c>
      <c r="E9" s="861" t="s">
        <v>792</v>
      </c>
      <c r="F9" s="862">
        <v>44586</v>
      </c>
      <c r="G9" s="861" t="s">
        <v>793</v>
      </c>
      <c r="H9" s="863">
        <v>382797.62</v>
      </c>
      <c r="I9" s="861" t="s">
        <v>606</v>
      </c>
      <c r="J9" s="864">
        <v>3100000</v>
      </c>
      <c r="K9" s="861" t="s">
        <v>807</v>
      </c>
      <c r="L9" s="861"/>
      <c r="M9" s="861" t="s">
        <v>814</v>
      </c>
    </row>
    <row r="10" spans="1:13" x14ac:dyDescent="0.35">
      <c r="A10" s="860"/>
      <c r="B10" s="861" t="s">
        <v>799</v>
      </c>
      <c r="C10" s="861" t="s">
        <v>815</v>
      </c>
      <c r="D10" s="861" t="s">
        <v>791</v>
      </c>
      <c r="E10" s="861" t="s">
        <v>792</v>
      </c>
      <c r="F10" s="862">
        <v>44586</v>
      </c>
      <c r="G10" s="861" t="s">
        <v>793</v>
      </c>
      <c r="H10" s="863">
        <v>870833</v>
      </c>
      <c r="I10" s="861" t="s">
        <v>606</v>
      </c>
      <c r="J10" s="864" t="s">
        <v>611</v>
      </c>
      <c r="K10" s="861" t="s">
        <v>807</v>
      </c>
      <c r="L10" s="861"/>
      <c r="M10" s="861" t="s">
        <v>816</v>
      </c>
    </row>
    <row r="11" spans="1:13" x14ac:dyDescent="0.35">
      <c r="A11" s="860"/>
      <c r="B11" s="861" t="s">
        <v>799</v>
      </c>
      <c r="C11" s="861" t="s">
        <v>817</v>
      </c>
      <c r="D11" s="861" t="s">
        <v>791</v>
      </c>
      <c r="E11" s="861" t="s">
        <v>792</v>
      </c>
      <c r="F11" s="862">
        <v>44586</v>
      </c>
      <c r="G11" s="861" t="s">
        <v>793</v>
      </c>
      <c r="H11" s="863">
        <v>258934.6</v>
      </c>
      <c r="I11" s="861" t="s">
        <v>606</v>
      </c>
      <c r="J11" s="864" t="s">
        <v>629</v>
      </c>
      <c r="K11" s="861" t="s">
        <v>807</v>
      </c>
      <c r="L11" s="861"/>
      <c r="M11" s="861" t="s">
        <v>818</v>
      </c>
    </row>
    <row r="12" spans="1:13" x14ac:dyDescent="0.35">
      <c r="A12" s="860"/>
      <c r="B12" s="861" t="s">
        <v>799</v>
      </c>
      <c r="C12" s="861" t="s">
        <v>819</v>
      </c>
      <c r="D12" s="861" t="s">
        <v>791</v>
      </c>
      <c r="E12" s="861" t="s">
        <v>792</v>
      </c>
      <c r="F12" s="862">
        <v>44586</v>
      </c>
      <c r="G12" s="861" t="s">
        <v>793</v>
      </c>
      <c r="H12" s="863">
        <v>1765647.54</v>
      </c>
      <c r="I12" s="861" t="s">
        <v>606</v>
      </c>
      <c r="J12" s="864">
        <v>4500000</v>
      </c>
      <c r="K12" s="861" t="s">
        <v>820</v>
      </c>
      <c r="L12" s="861"/>
      <c r="M12" s="861" t="s">
        <v>821</v>
      </c>
    </row>
    <row r="13" spans="1:13" x14ac:dyDescent="0.35">
      <c r="A13" s="860"/>
      <c r="B13" s="861" t="s">
        <v>799</v>
      </c>
      <c r="C13" s="861" t="s">
        <v>822</v>
      </c>
      <c r="D13" s="861" t="s">
        <v>791</v>
      </c>
      <c r="E13" s="861" t="s">
        <v>792</v>
      </c>
      <c r="F13" s="862">
        <v>44586</v>
      </c>
      <c r="G13" s="861" t="s">
        <v>793</v>
      </c>
      <c r="H13" s="863">
        <v>47836.7</v>
      </c>
      <c r="I13" s="861" t="s">
        <v>606</v>
      </c>
      <c r="J13" s="864" t="s">
        <v>628</v>
      </c>
      <c r="K13" s="861" t="s">
        <v>820</v>
      </c>
      <c r="L13" s="861"/>
      <c r="M13" s="861" t="s">
        <v>823</v>
      </c>
    </row>
    <row r="14" spans="1:13" x14ac:dyDescent="0.35">
      <c r="A14" s="860"/>
      <c r="B14" s="861" t="s">
        <v>799</v>
      </c>
      <c r="C14" s="861" t="s">
        <v>824</v>
      </c>
      <c r="D14" s="861" t="s">
        <v>791</v>
      </c>
      <c r="E14" s="861" t="s">
        <v>792</v>
      </c>
      <c r="F14" s="862">
        <v>44586</v>
      </c>
      <c r="G14" s="861" t="s">
        <v>793</v>
      </c>
      <c r="H14" s="863">
        <v>77833.77</v>
      </c>
      <c r="I14" s="861" t="s">
        <v>606</v>
      </c>
      <c r="J14" s="864">
        <v>1600000</v>
      </c>
      <c r="K14" s="861" t="s">
        <v>825</v>
      </c>
      <c r="L14" s="861"/>
      <c r="M14" s="861" t="s">
        <v>826</v>
      </c>
    </row>
    <row r="15" spans="1:13" x14ac:dyDescent="0.35">
      <c r="A15" s="860"/>
      <c r="B15" s="861" t="s">
        <v>799</v>
      </c>
      <c r="C15" s="861" t="s">
        <v>827</v>
      </c>
      <c r="D15" s="861" t="s">
        <v>791</v>
      </c>
      <c r="E15" s="861" t="s">
        <v>792</v>
      </c>
      <c r="F15" s="862">
        <v>44586</v>
      </c>
      <c r="G15" s="861" t="s">
        <v>793</v>
      </c>
      <c r="H15" s="863">
        <v>966590.8</v>
      </c>
      <c r="I15" s="861" t="s">
        <v>606</v>
      </c>
      <c r="J15" s="864" t="s">
        <v>562</v>
      </c>
      <c r="K15" s="861" t="s">
        <v>825</v>
      </c>
      <c r="L15" s="861"/>
      <c r="M15" s="861" t="s">
        <v>828</v>
      </c>
    </row>
    <row r="16" spans="1:13" x14ac:dyDescent="0.35">
      <c r="A16" s="860"/>
      <c r="B16" s="861" t="s">
        <v>799</v>
      </c>
      <c r="C16" s="861" t="s">
        <v>829</v>
      </c>
      <c r="D16" s="861" t="s">
        <v>791</v>
      </c>
      <c r="E16" s="861" t="s">
        <v>792</v>
      </c>
      <c r="F16" s="862">
        <v>44586</v>
      </c>
      <c r="G16" s="861" t="s">
        <v>793</v>
      </c>
      <c r="H16" s="863">
        <v>5970635.6200000001</v>
      </c>
      <c r="I16" s="861" t="s">
        <v>606</v>
      </c>
      <c r="J16" s="864">
        <v>4200000</v>
      </c>
      <c r="K16" s="861" t="s">
        <v>830</v>
      </c>
      <c r="L16" s="861"/>
      <c r="M16" s="861" t="s">
        <v>831</v>
      </c>
    </row>
    <row r="17" spans="1:13" x14ac:dyDescent="0.35">
      <c r="A17" s="860"/>
      <c r="B17" s="861" t="s">
        <v>799</v>
      </c>
      <c r="C17" s="861" t="s">
        <v>832</v>
      </c>
      <c r="D17" s="861" t="s">
        <v>791</v>
      </c>
      <c r="E17" s="861" t="s">
        <v>792</v>
      </c>
      <c r="F17" s="862">
        <v>44586</v>
      </c>
      <c r="G17" s="861" t="s">
        <v>793</v>
      </c>
      <c r="H17" s="863">
        <v>642729.5</v>
      </c>
      <c r="I17" s="861" t="s">
        <v>606</v>
      </c>
      <c r="J17" s="864">
        <v>4500000</v>
      </c>
      <c r="K17" s="861" t="s">
        <v>830</v>
      </c>
      <c r="L17" s="861"/>
      <c r="M17" s="861" t="s">
        <v>833</v>
      </c>
    </row>
    <row r="18" spans="1:13" x14ac:dyDescent="0.35">
      <c r="A18" s="860"/>
      <c r="B18" s="861" t="s">
        <v>799</v>
      </c>
      <c r="C18" s="861" t="s">
        <v>834</v>
      </c>
      <c r="D18" s="861" t="s">
        <v>791</v>
      </c>
      <c r="E18" s="861" t="s">
        <v>792</v>
      </c>
      <c r="F18" s="862">
        <v>44586</v>
      </c>
      <c r="G18" s="861" t="s">
        <v>793</v>
      </c>
      <c r="H18" s="863">
        <v>1500181.56</v>
      </c>
      <c r="I18" s="861" t="s">
        <v>606</v>
      </c>
      <c r="J18" s="864" t="s">
        <v>551</v>
      </c>
      <c r="K18" s="861" t="s">
        <v>835</v>
      </c>
      <c r="L18" s="861"/>
      <c r="M18" s="861" t="s">
        <v>836</v>
      </c>
    </row>
    <row r="19" spans="1:13" x14ac:dyDescent="0.35">
      <c r="A19" s="860"/>
      <c r="B19" s="861" t="s">
        <v>799</v>
      </c>
      <c r="C19" s="861" t="s">
        <v>837</v>
      </c>
      <c r="D19" s="861" t="s">
        <v>791</v>
      </c>
      <c r="E19" s="861" t="s">
        <v>792</v>
      </c>
      <c r="F19" s="862">
        <v>44586</v>
      </c>
      <c r="G19" s="861" t="s">
        <v>793</v>
      </c>
      <c r="H19" s="863">
        <v>142907.20000000001</v>
      </c>
      <c r="I19" s="861" t="s">
        <v>606</v>
      </c>
      <c r="J19" s="864">
        <v>1800000</v>
      </c>
      <c r="K19" s="861" t="s">
        <v>835</v>
      </c>
      <c r="L19" s="861"/>
      <c r="M19" s="861" t="s">
        <v>838</v>
      </c>
    </row>
    <row r="20" spans="1:13" x14ac:dyDescent="0.35">
      <c r="A20" s="860"/>
      <c r="B20" s="861" t="s">
        <v>799</v>
      </c>
      <c r="C20" s="861" t="s">
        <v>839</v>
      </c>
      <c r="D20" s="861" t="s">
        <v>791</v>
      </c>
      <c r="E20" s="861" t="s">
        <v>792</v>
      </c>
      <c r="F20" s="862">
        <v>44586</v>
      </c>
      <c r="G20" s="861" t="s">
        <v>793</v>
      </c>
      <c r="H20" s="863">
        <v>343525.95</v>
      </c>
      <c r="I20" s="861" t="s">
        <v>606</v>
      </c>
      <c r="J20" s="864">
        <v>4500000</v>
      </c>
      <c r="K20" s="861" t="s">
        <v>835</v>
      </c>
      <c r="L20" s="861"/>
      <c r="M20" s="861" t="s">
        <v>840</v>
      </c>
    </row>
    <row r="21" spans="1:13" x14ac:dyDescent="0.35">
      <c r="A21" s="860"/>
      <c r="B21" s="861" t="s">
        <v>841</v>
      </c>
      <c r="C21" s="861" t="s">
        <v>842</v>
      </c>
      <c r="D21" s="861" t="s">
        <v>791</v>
      </c>
      <c r="E21" s="861" t="s">
        <v>792</v>
      </c>
      <c r="F21" s="862">
        <v>44592</v>
      </c>
      <c r="G21" s="861" t="s">
        <v>793</v>
      </c>
      <c r="H21" s="863">
        <v>955532.14</v>
      </c>
      <c r="I21" s="861" t="s">
        <v>606</v>
      </c>
      <c r="J21" s="864">
        <v>4500000</v>
      </c>
      <c r="K21" s="861" t="s">
        <v>843</v>
      </c>
      <c r="L21" s="861"/>
      <c r="M21" s="861" t="s">
        <v>844</v>
      </c>
    </row>
    <row r="22" spans="1:13" x14ac:dyDescent="0.35">
      <c r="A22" s="860"/>
      <c r="B22" s="861" t="s">
        <v>841</v>
      </c>
      <c r="C22" s="861" t="s">
        <v>845</v>
      </c>
      <c r="D22" s="861" t="s">
        <v>791</v>
      </c>
      <c r="E22" s="861" t="s">
        <v>792</v>
      </c>
      <c r="F22" s="862">
        <v>44592</v>
      </c>
      <c r="G22" s="861" t="s">
        <v>793</v>
      </c>
      <c r="H22" s="863">
        <v>194905.7</v>
      </c>
      <c r="I22" s="861" t="s">
        <v>606</v>
      </c>
      <c r="J22" s="864">
        <v>1800000</v>
      </c>
      <c r="K22" s="861" t="s">
        <v>843</v>
      </c>
      <c r="L22" s="861"/>
      <c r="M22" s="861" t="s">
        <v>846</v>
      </c>
    </row>
    <row r="23" spans="1:13" x14ac:dyDescent="0.35">
      <c r="A23" s="860"/>
      <c r="B23" s="861" t="s">
        <v>841</v>
      </c>
      <c r="C23" s="861" t="s">
        <v>847</v>
      </c>
      <c r="D23" s="861" t="s">
        <v>791</v>
      </c>
      <c r="E23" s="861" t="s">
        <v>792</v>
      </c>
      <c r="F23" s="862">
        <v>44592</v>
      </c>
      <c r="G23" s="861" t="s">
        <v>793</v>
      </c>
      <c r="H23" s="863">
        <v>183881.11</v>
      </c>
      <c r="I23" s="861" t="s">
        <v>606</v>
      </c>
      <c r="J23" s="864" t="s">
        <v>638</v>
      </c>
      <c r="K23" s="861" t="s">
        <v>843</v>
      </c>
      <c r="L23" s="861"/>
      <c r="M23" s="861" t="s">
        <v>848</v>
      </c>
    </row>
    <row r="24" spans="1:13" x14ac:dyDescent="0.35">
      <c r="A24" s="860"/>
      <c r="B24" s="861" t="s">
        <v>841</v>
      </c>
      <c r="C24" s="861" t="s">
        <v>849</v>
      </c>
      <c r="D24" s="861" t="s">
        <v>791</v>
      </c>
      <c r="E24" s="861" t="s">
        <v>792</v>
      </c>
      <c r="F24" s="862">
        <v>44592</v>
      </c>
      <c r="G24" s="861" t="s">
        <v>793</v>
      </c>
      <c r="H24" s="863">
        <v>837519.05</v>
      </c>
      <c r="I24" s="861" t="s">
        <v>606</v>
      </c>
      <c r="J24" s="864" t="s">
        <v>611</v>
      </c>
      <c r="K24" s="861" t="s">
        <v>850</v>
      </c>
      <c r="L24" s="861"/>
      <c r="M24" s="861" t="s">
        <v>851</v>
      </c>
    </row>
    <row r="25" spans="1:13" x14ac:dyDescent="0.35">
      <c r="A25" s="860"/>
      <c r="B25" s="861" t="s">
        <v>841</v>
      </c>
      <c r="C25" s="861" t="s">
        <v>852</v>
      </c>
      <c r="D25" s="861" t="s">
        <v>791</v>
      </c>
      <c r="E25" s="861" t="s">
        <v>792</v>
      </c>
      <c r="F25" s="862">
        <v>44592</v>
      </c>
      <c r="G25" s="861" t="s">
        <v>793</v>
      </c>
      <c r="H25" s="863">
        <v>289945.89</v>
      </c>
      <c r="I25" s="861" t="s">
        <v>606</v>
      </c>
      <c r="J25" s="864">
        <v>2300000</v>
      </c>
      <c r="K25" s="861" t="s">
        <v>850</v>
      </c>
      <c r="L25" s="861"/>
      <c r="M25" s="861" t="s">
        <v>853</v>
      </c>
    </row>
    <row r="26" spans="1:13" x14ac:dyDescent="0.35">
      <c r="A26" s="860"/>
      <c r="B26" s="861" t="s">
        <v>841</v>
      </c>
      <c r="C26" s="861" t="s">
        <v>854</v>
      </c>
      <c r="D26" s="861" t="s">
        <v>791</v>
      </c>
      <c r="E26" s="861" t="s">
        <v>792</v>
      </c>
      <c r="F26" s="862">
        <v>44592</v>
      </c>
      <c r="G26" s="861" t="s">
        <v>793</v>
      </c>
      <c r="H26" s="863">
        <v>65673</v>
      </c>
      <c r="I26" s="861" t="s">
        <v>606</v>
      </c>
      <c r="J26" s="864" t="s">
        <v>615</v>
      </c>
      <c r="K26" s="861" t="s">
        <v>850</v>
      </c>
      <c r="L26" s="861"/>
      <c r="M26" s="861" t="s">
        <v>855</v>
      </c>
    </row>
    <row r="27" spans="1:13" x14ac:dyDescent="0.35">
      <c r="A27" s="860"/>
      <c r="B27" s="861" t="s">
        <v>841</v>
      </c>
      <c r="C27" s="861" t="s">
        <v>856</v>
      </c>
      <c r="D27" s="861" t="s">
        <v>791</v>
      </c>
      <c r="E27" s="861" t="s">
        <v>792</v>
      </c>
      <c r="F27" s="862">
        <v>44592</v>
      </c>
      <c r="G27" s="861" t="s">
        <v>793</v>
      </c>
      <c r="H27" s="863">
        <v>129710.71</v>
      </c>
      <c r="I27" s="861" t="s">
        <v>606</v>
      </c>
      <c r="J27" s="864">
        <v>1400000</v>
      </c>
      <c r="K27" s="861" t="s">
        <v>843</v>
      </c>
      <c r="L27" s="861"/>
      <c r="M27" s="861" t="s">
        <v>857</v>
      </c>
    </row>
    <row r="28" spans="1:13" x14ac:dyDescent="0.35">
      <c r="A28" s="860"/>
      <c r="B28" s="861" t="s">
        <v>841</v>
      </c>
      <c r="C28" s="861" t="s">
        <v>858</v>
      </c>
      <c r="D28" s="861" t="s">
        <v>791</v>
      </c>
      <c r="E28" s="861" t="s">
        <v>792</v>
      </c>
      <c r="F28" s="862">
        <v>44592</v>
      </c>
      <c r="G28" s="861" t="s">
        <v>793</v>
      </c>
      <c r="H28" s="863">
        <v>13106.81</v>
      </c>
      <c r="I28" s="861" t="s">
        <v>606</v>
      </c>
      <c r="J28" s="864">
        <v>1800000</v>
      </c>
      <c r="K28" s="861" t="s">
        <v>850</v>
      </c>
      <c r="L28" s="861"/>
      <c r="M28" s="861" t="s">
        <v>859</v>
      </c>
    </row>
    <row r="29" spans="1:13" x14ac:dyDescent="0.35">
      <c r="A29" s="860"/>
      <c r="B29" s="861" t="s">
        <v>841</v>
      </c>
      <c r="C29" s="861" t="s">
        <v>860</v>
      </c>
      <c r="D29" s="861" t="s">
        <v>791</v>
      </c>
      <c r="E29" s="861" t="s">
        <v>792</v>
      </c>
      <c r="F29" s="862">
        <v>44592</v>
      </c>
      <c r="G29" s="861" t="s">
        <v>793</v>
      </c>
      <c r="H29" s="863">
        <v>686333.74</v>
      </c>
      <c r="I29" s="861" t="s">
        <v>606</v>
      </c>
      <c r="J29" s="864" t="s">
        <v>543</v>
      </c>
      <c r="K29" s="861" t="s">
        <v>861</v>
      </c>
      <c r="L29" s="861"/>
      <c r="M29" s="861" t="s">
        <v>862</v>
      </c>
    </row>
    <row r="30" spans="1:13" x14ac:dyDescent="0.35">
      <c r="A30" s="860"/>
      <c r="B30" s="861" t="s">
        <v>841</v>
      </c>
      <c r="C30" s="861" t="s">
        <v>863</v>
      </c>
      <c r="D30" s="861" t="s">
        <v>791</v>
      </c>
      <c r="E30" s="861" t="s">
        <v>792</v>
      </c>
      <c r="F30" s="862">
        <v>44592</v>
      </c>
      <c r="G30" s="861" t="s">
        <v>793</v>
      </c>
      <c r="H30" s="863">
        <v>1158426.05</v>
      </c>
      <c r="I30" s="861" t="s">
        <v>606</v>
      </c>
      <c r="J30" s="864">
        <v>4500000</v>
      </c>
      <c r="K30" s="861" t="s">
        <v>864</v>
      </c>
      <c r="L30" s="861"/>
      <c r="M30" s="861" t="s">
        <v>865</v>
      </c>
    </row>
    <row r="31" spans="1:13" x14ac:dyDescent="0.35">
      <c r="A31" s="860"/>
      <c r="B31" s="861" t="s">
        <v>841</v>
      </c>
      <c r="C31" s="861" t="s">
        <v>866</v>
      </c>
      <c r="D31" s="861" t="s">
        <v>791</v>
      </c>
      <c r="E31" s="861" t="s">
        <v>792</v>
      </c>
      <c r="F31" s="862">
        <v>44592</v>
      </c>
      <c r="G31" s="861" t="s">
        <v>793</v>
      </c>
      <c r="H31" s="863">
        <v>952790.96</v>
      </c>
      <c r="I31" s="861" t="s">
        <v>606</v>
      </c>
      <c r="J31" s="864">
        <v>9600000</v>
      </c>
      <c r="K31" s="861" t="s">
        <v>864</v>
      </c>
      <c r="L31" s="861"/>
      <c r="M31" s="861" t="s">
        <v>867</v>
      </c>
    </row>
    <row r="32" spans="1:13" x14ac:dyDescent="0.35">
      <c r="A32" s="860"/>
      <c r="B32" s="861" t="s">
        <v>841</v>
      </c>
      <c r="C32" s="861" t="s">
        <v>868</v>
      </c>
      <c r="D32" s="861" t="s">
        <v>791</v>
      </c>
      <c r="E32" s="861" t="s">
        <v>792</v>
      </c>
      <c r="F32" s="862">
        <v>44592</v>
      </c>
      <c r="G32" s="861" t="s">
        <v>793</v>
      </c>
      <c r="H32" s="863">
        <v>112204.71</v>
      </c>
      <c r="I32" s="861" t="s">
        <v>606</v>
      </c>
      <c r="J32" s="864">
        <v>3400000</v>
      </c>
      <c r="K32" s="861" t="s">
        <v>864</v>
      </c>
      <c r="L32" s="861"/>
      <c r="M32" s="861" t="s">
        <v>869</v>
      </c>
    </row>
    <row r="33" spans="1:13" x14ac:dyDescent="0.35">
      <c r="A33" s="860"/>
      <c r="B33" s="861" t="s">
        <v>841</v>
      </c>
      <c r="C33" s="861" t="s">
        <v>870</v>
      </c>
      <c r="D33" s="861" t="s">
        <v>791</v>
      </c>
      <c r="E33" s="861" t="s">
        <v>792</v>
      </c>
      <c r="F33" s="862">
        <v>44592</v>
      </c>
      <c r="G33" s="861" t="s">
        <v>793</v>
      </c>
      <c r="H33" s="863">
        <v>80072.600000000006</v>
      </c>
      <c r="I33" s="861" t="s">
        <v>606</v>
      </c>
      <c r="J33" s="864" t="s">
        <v>871</v>
      </c>
      <c r="K33" s="861" t="s">
        <v>861</v>
      </c>
      <c r="L33" s="861"/>
      <c r="M33" s="861" t="s">
        <v>872</v>
      </c>
    </row>
    <row r="34" spans="1:13" x14ac:dyDescent="0.35">
      <c r="A34" s="860"/>
      <c r="B34" s="861" t="s">
        <v>841</v>
      </c>
      <c r="C34" s="861" t="s">
        <v>873</v>
      </c>
      <c r="D34" s="861" t="s">
        <v>791</v>
      </c>
      <c r="E34" s="861" t="s">
        <v>792</v>
      </c>
      <c r="F34" s="862">
        <v>44592</v>
      </c>
      <c r="G34" s="861" t="s">
        <v>793</v>
      </c>
      <c r="H34" s="863">
        <v>1230483.96</v>
      </c>
      <c r="I34" s="861" t="s">
        <v>606</v>
      </c>
      <c r="J34" s="864" t="s">
        <v>551</v>
      </c>
      <c r="K34" s="861" t="s">
        <v>843</v>
      </c>
      <c r="L34" s="861"/>
      <c r="M34" s="861" t="s">
        <v>874</v>
      </c>
    </row>
    <row r="35" spans="1:13" x14ac:dyDescent="0.35">
      <c r="A35" s="860"/>
      <c r="B35" s="861" t="s">
        <v>841</v>
      </c>
      <c r="C35" s="861" t="s">
        <v>875</v>
      </c>
      <c r="D35" s="861" t="s">
        <v>791</v>
      </c>
      <c r="E35" s="861" t="s">
        <v>792</v>
      </c>
      <c r="F35" s="862">
        <v>44592</v>
      </c>
      <c r="G35" s="861" t="s">
        <v>793</v>
      </c>
      <c r="H35" s="863">
        <v>1283276</v>
      </c>
      <c r="I35" s="861" t="s">
        <v>606</v>
      </c>
      <c r="J35" s="864" t="s">
        <v>615</v>
      </c>
      <c r="K35" s="861" t="s">
        <v>843</v>
      </c>
      <c r="L35" s="861"/>
      <c r="M35" s="861" t="s">
        <v>876</v>
      </c>
    </row>
    <row r="36" spans="1:13" x14ac:dyDescent="0.35">
      <c r="A36" s="860"/>
      <c r="B36" s="861"/>
      <c r="C36" s="861"/>
      <c r="D36" s="861"/>
      <c r="E36" s="861"/>
      <c r="F36" s="862"/>
      <c r="G36" s="861"/>
      <c r="H36" s="863">
        <v>168633</v>
      </c>
      <c r="I36" s="861"/>
      <c r="J36" s="864">
        <v>2400000</v>
      </c>
      <c r="K36" s="861" t="s">
        <v>877</v>
      </c>
      <c r="L36" s="861"/>
      <c r="M36" s="861"/>
    </row>
    <row r="37" spans="1:13" x14ac:dyDescent="0.35">
      <c r="A37" s="860"/>
      <c r="B37" s="861" t="s">
        <v>841</v>
      </c>
      <c r="C37" s="861" t="s">
        <v>878</v>
      </c>
      <c r="D37" s="861" t="s">
        <v>791</v>
      </c>
      <c r="E37" s="861" t="s">
        <v>792</v>
      </c>
      <c r="F37" s="862">
        <v>44592</v>
      </c>
      <c r="G37" s="861" t="s">
        <v>793</v>
      </c>
      <c r="H37" s="863">
        <v>798574.62</v>
      </c>
      <c r="I37" s="861" t="s">
        <v>606</v>
      </c>
      <c r="J37" s="864">
        <v>2600000</v>
      </c>
      <c r="K37" s="861" t="s">
        <v>877</v>
      </c>
      <c r="L37" s="861"/>
      <c r="M37" s="861" t="s">
        <v>879</v>
      </c>
    </row>
    <row r="38" spans="1:13" x14ac:dyDescent="0.35">
      <c r="A38" s="860"/>
      <c r="B38" s="861" t="s">
        <v>841</v>
      </c>
      <c r="C38" s="861" t="s">
        <v>880</v>
      </c>
      <c r="D38" s="861" t="s">
        <v>791</v>
      </c>
      <c r="E38" s="861" t="s">
        <v>792</v>
      </c>
      <c r="F38" s="862">
        <v>44592</v>
      </c>
      <c r="G38" s="861" t="s">
        <v>793</v>
      </c>
      <c r="H38" s="863">
        <v>837519.05</v>
      </c>
      <c r="I38" s="861" t="s">
        <v>606</v>
      </c>
      <c r="J38" s="864" t="s">
        <v>611</v>
      </c>
      <c r="K38" s="861" t="s">
        <v>877</v>
      </c>
      <c r="L38" s="861"/>
      <c r="M38" s="861" t="s">
        <v>881</v>
      </c>
    </row>
    <row r="39" spans="1:13" x14ac:dyDescent="0.35">
      <c r="A39" s="860"/>
      <c r="B39" s="861"/>
      <c r="C39" s="861"/>
      <c r="D39" s="861"/>
      <c r="E39" s="861"/>
      <c r="F39" s="862"/>
      <c r="G39" s="861"/>
      <c r="H39" s="863">
        <v>38360.1</v>
      </c>
      <c r="I39" s="861"/>
      <c r="J39" s="864">
        <v>600000</v>
      </c>
      <c r="K39" s="861" t="s">
        <v>877</v>
      </c>
      <c r="L39" s="861"/>
      <c r="M39" s="861"/>
    </row>
    <row r="40" spans="1:13" x14ac:dyDescent="0.35">
      <c r="A40" s="860"/>
      <c r="B40" s="861" t="s">
        <v>841</v>
      </c>
      <c r="C40" s="861" t="s">
        <v>882</v>
      </c>
      <c r="D40" s="861" t="s">
        <v>791</v>
      </c>
      <c r="E40" s="861" t="s">
        <v>792</v>
      </c>
      <c r="F40" s="862">
        <v>44592</v>
      </c>
      <c r="G40" s="861" t="s">
        <v>793</v>
      </c>
      <c r="H40" s="863">
        <v>482944.1</v>
      </c>
      <c r="I40" s="861" t="s">
        <v>606</v>
      </c>
      <c r="J40" s="864">
        <v>7800000</v>
      </c>
      <c r="K40" s="861" t="s">
        <v>877</v>
      </c>
      <c r="L40" s="861"/>
      <c r="M40" s="861" t="s">
        <v>883</v>
      </c>
    </row>
    <row r="41" spans="1:13" x14ac:dyDescent="0.35">
      <c r="A41" s="860"/>
      <c r="B41" s="861" t="s">
        <v>841</v>
      </c>
      <c r="C41" s="861" t="s">
        <v>884</v>
      </c>
      <c r="D41" s="861" t="s">
        <v>791</v>
      </c>
      <c r="E41" s="861" t="s">
        <v>792</v>
      </c>
      <c r="F41" s="862">
        <v>44592</v>
      </c>
      <c r="G41" s="861" t="s">
        <v>793</v>
      </c>
      <c r="H41" s="863">
        <v>87949.66</v>
      </c>
      <c r="I41" s="861" t="s">
        <v>606</v>
      </c>
      <c r="J41" s="864">
        <v>3400000</v>
      </c>
      <c r="K41" s="861" t="s">
        <v>877</v>
      </c>
      <c r="L41" s="861"/>
      <c r="M41" s="861" t="s">
        <v>885</v>
      </c>
    </row>
    <row r="42" spans="1:13" x14ac:dyDescent="0.35">
      <c r="A42" s="860"/>
      <c r="B42" s="861" t="s">
        <v>841</v>
      </c>
      <c r="C42" s="861" t="s">
        <v>886</v>
      </c>
      <c r="D42" s="861" t="s">
        <v>791</v>
      </c>
      <c r="E42" s="861" t="s">
        <v>792</v>
      </c>
      <c r="F42" s="862">
        <v>44592</v>
      </c>
      <c r="G42" s="861" t="s">
        <v>793</v>
      </c>
      <c r="H42" s="863">
        <v>45647.3</v>
      </c>
      <c r="I42" s="861" t="s">
        <v>606</v>
      </c>
      <c r="J42" s="864" t="s">
        <v>554</v>
      </c>
      <c r="K42" s="861" t="s">
        <v>877</v>
      </c>
      <c r="L42" s="861"/>
      <c r="M42" s="861" t="s">
        <v>887</v>
      </c>
    </row>
    <row r="43" spans="1:13" x14ac:dyDescent="0.35">
      <c r="A43" s="860"/>
      <c r="B43" s="861" t="s">
        <v>841</v>
      </c>
      <c r="C43" s="861" t="s">
        <v>888</v>
      </c>
      <c r="D43" s="861" t="s">
        <v>791</v>
      </c>
      <c r="E43" s="861" t="s">
        <v>792</v>
      </c>
      <c r="F43" s="862">
        <v>44592</v>
      </c>
      <c r="G43" s="861" t="s">
        <v>793</v>
      </c>
      <c r="H43" s="863">
        <v>11322.1</v>
      </c>
      <c r="I43" s="861" t="s">
        <v>606</v>
      </c>
      <c r="J43" s="864">
        <v>3500000</v>
      </c>
      <c r="K43" s="861" t="s">
        <v>877</v>
      </c>
      <c r="L43" s="861"/>
      <c r="M43" s="861" t="s">
        <v>889</v>
      </c>
    </row>
    <row r="44" spans="1:13" x14ac:dyDescent="0.35">
      <c r="A44" s="860"/>
      <c r="B44" s="861" t="s">
        <v>841</v>
      </c>
      <c r="C44" s="861" t="s">
        <v>890</v>
      </c>
      <c r="D44" s="861" t="s">
        <v>791</v>
      </c>
      <c r="E44" s="861" t="s">
        <v>792</v>
      </c>
      <c r="F44" s="862">
        <v>44592</v>
      </c>
      <c r="G44" s="861" t="s">
        <v>793</v>
      </c>
      <c r="H44" s="863">
        <v>7050739.2400000002</v>
      </c>
      <c r="I44" s="861" t="s">
        <v>606</v>
      </c>
      <c r="J44" s="864" t="s">
        <v>559</v>
      </c>
      <c r="K44" s="861" t="s">
        <v>877</v>
      </c>
      <c r="L44" s="861"/>
      <c r="M44" s="861" t="s">
        <v>891</v>
      </c>
    </row>
    <row r="45" spans="1:13" x14ac:dyDescent="0.35">
      <c r="A45" s="860"/>
      <c r="B45" s="861" t="s">
        <v>841</v>
      </c>
      <c r="C45" s="861" t="s">
        <v>892</v>
      </c>
      <c r="D45" s="861" t="s">
        <v>791</v>
      </c>
      <c r="E45" s="861" t="s">
        <v>792</v>
      </c>
      <c r="F45" s="862">
        <v>44592</v>
      </c>
      <c r="G45" s="861" t="s">
        <v>793</v>
      </c>
      <c r="H45" s="863">
        <v>16387942.67</v>
      </c>
      <c r="I45" s="861" t="s">
        <v>606</v>
      </c>
      <c r="J45" s="864" t="s">
        <v>555</v>
      </c>
      <c r="K45" s="861" t="s">
        <v>877</v>
      </c>
      <c r="L45" s="861"/>
      <c r="M45" s="861" t="s">
        <v>893</v>
      </c>
    </row>
    <row r="46" spans="1:13" x14ac:dyDescent="0.35">
      <c r="A46" s="860"/>
      <c r="B46" s="861" t="s">
        <v>841</v>
      </c>
      <c r="C46" s="861" t="s">
        <v>894</v>
      </c>
      <c r="D46" s="861" t="s">
        <v>791</v>
      </c>
      <c r="E46" s="861" t="s">
        <v>792</v>
      </c>
      <c r="F46" s="862">
        <v>44592</v>
      </c>
      <c r="G46" s="861" t="s">
        <v>793</v>
      </c>
      <c r="H46" s="863">
        <v>1152594.6200000001</v>
      </c>
      <c r="I46" s="861" t="s">
        <v>606</v>
      </c>
      <c r="J46" s="864" t="s">
        <v>556</v>
      </c>
      <c r="K46" s="861" t="s">
        <v>877</v>
      </c>
      <c r="L46" s="861"/>
      <c r="M46" s="861" t="s">
        <v>895</v>
      </c>
    </row>
    <row r="47" spans="1:13" x14ac:dyDescent="0.35">
      <c r="A47" s="865"/>
      <c r="B47" s="866"/>
      <c r="C47" s="866"/>
      <c r="D47" s="866"/>
      <c r="E47" s="866"/>
      <c r="F47" s="867"/>
      <c r="G47" s="866"/>
      <c r="H47" s="868">
        <f>SUM(H2:H46)</f>
        <v>57675745.260000005</v>
      </c>
      <c r="I47" s="866" t="s">
        <v>606</v>
      </c>
      <c r="J47" s="869"/>
      <c r="K47" s="866"/>
      <c r="L47" s="866"/>
      <c r="M47" s="866"/>
    </row>
    <row r="48" spans="1:13" x14ac:dyDescent="0.35">
      <c r="A48" s="866" t="s">
        <v>896</v>
      </c>
      <c r="B48" s="866"/>
      <c r="C48" s="866"/>
      <c r="D48" s="866"/>
      <c r="E48" s="866"/>
      <c r="F48" s="867"/>
      <c r="G48" s="866"/>
      <c r="H48" s="868">
        <v>57675745.260000005</v>
      </c>
      <c r="I48" s="866" t="s">
        <v>606</v>
      </c>
      <c r="J48" s="869"/>
      <c r="K48" s="866"/>
      <c r="L48" s="866"/>
      <c r="M48" s="866"/>
    </row>
    <row r="49" spans="1:13" x14ac:dyDescent="0.35">
      <c r="A49" s="870"/>
      <c r="B49" s="870"/>
      <c r="C49" s="870"/>
      <c r="D49" s="870"/>
      <c r="E49" s="870"/>
      <c r="F49" s="871"/>
      <c r="G49" s="870"/>
      <c r="H49" s="868">
        <f>SUM(H4:H48)</f>
        <v>165684971.83000004</v>
      </c>
      <c r="I49" s="870" t="s">
        <v>606</v>
      </c>
      <c r="J49" s="872"/>
      <c r="K49" s="870"/>
      <c r="L49" s="870"/>
      <c r="M49" s="870"/>
    </row>
  </sheetData>
  <autoFilter ref="A1:M49" xr:uid="{D70CC150-A35D-44A8-A610-71FD2EFB7953}"/>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04EF-41E6-4665-86EB-D965D3AFDAD6}">
  <dimension ref="A1:B106"/>
  <sheetViews>
    <sheetView workbookViewId="0">
      <selection activeCell="D21" sqref="D21"/>
    </sheetView>
  </sheetViews>
  <sheetFormatPr defaultRowHeight="14.5" x14ac:dyDescent="0.35"/>
  <cols>
    <col min="1" max="1" width="68.6328125" customWidth="1"/>
    <col min="2" max="2" width="33.08984375" customWidth="1"/>
  </cols>
  <sheetData>
    <row r="1" spans="1:2" ht="18.5" x14ac:dyDescent="0.45">
      <c r="A1" s="778" t="s">
        <v>361</v>
      </c>
      <c r="B1" s="782">
        <v>38443757.316600069</v>
      </c>
    </row>
    <row r="2" spans="1:2" ht="18.5" x14ac:dyDescent="0.45">
      <c r="A2" s="778" t="s">
        <v>25</v>
      </c>
      <c r="B2" s="782">
        <v>23486405.920000002</v>
      </c>
    </row>
    <row r="3" spans="1:2" ht="18.5" x14ac:dyDescent="0.45">
      <c r="A3" s="784" t="s">
        <v>341</v>
      </c>
      <c r="B3" s="782">
        <v>9286848.0960000064</v>
      </c>
    </row>
    <row r="4" spans="1:2" ht="18.5" x14ac:dyDescent="0.45">
      <c r="A4" s="784" t="s">
        <v>21</v>
      </c>
      <c r="B4" s="782">
        <v>7436233.7799999937</v>
      </c>
    </row>
    <row r="5" spans="1:2" ht="18.5" x14ac:dyDescent="0.45">
      <c r="A5" s="784" t="s">
        <v>36</v>
      </c>
      <c r="B5" s="782">
        <v>4333319.8599999966</v>
      </c>
    </row>
    <row r="6" spans="1:2" ht="18.5" x14ac:dyDescent="0.45">
      <c r="A6" s="784" t="s">
        <v>45</v>
      </c>
      <c r="B6" s="782">
        <v>2150541.9583000001</v>
      </c>
    </row>
    <row r="7" spans="1:2" ht="18.5" x14ac:dyDescent="0.45">
      <c r="A7" s="784" t="s">
        <v>335</v>
      </c>
      <c r="B7" s="782">
        <v>2138977.5100000091</v>
      </c>
    </row>
    <row r="8" spans="1:2" ht="18.5" x14ac:dyDescent="0.45">
      <c r="A8" s="784" t="s">
        <v>23</v>
      </c>
      <c r="B8" s="782">
        <v>1911451.4200000009</v>
      </c>
    </row>
    <row r="9" spans="1:2" ht="18.5" x14ac:dyDescent="0.45">
      <c r="A9" s="784" t="s">
        <v>48</v>
      </c>
      <c r="B9" s="782">
        <v>1760423.5899999989</v>
      </c>
    </row>
    <row r="10" spans="1:2" ht="18.5" x14ac:dyDescent="0.45">
      <c r="A10" s="778" t="s">
        <v>362</v>
      </c>
      <c r="B10" s="782">
        <v>1573979.3499999985</v>
      </c>
    </row>
    <row r="11" spans="1:2" ht="18.5" x14ac:dyDescent="0.45">
      <c r="A11" s="784" t="s">
        <v>27</v>
      </c>
      <c r="B11" s="782">
        <v>1035148.4099999986</v>
      </c>
    </row>
    <row r="12" spans="1:2" ht="18.5" x14ac:dyDescent="0.45">
      <c r="A12" s="784" t="s">
        <v>37</v>
      </c>
      <c r="B12" s="782">
        <v>1034162.0099999964</v>
      </c>
    </row>
    <row r="13" spans="1:2" ht="18.5" x14ac:dyDescent="0.45">
      <c r="A13" s="784" t="s">
        <v>71</v>
      </c>
      <c r="B13" s="782">
        <v>863155.68999999913</v>
      </c>
    </row>
    <row r="14" spans="1:2" ht="18.5" x14ac:dyDescent="0.45">
      <c r="A14" s="784" t="s">
        <v>61</v>
      </c>
      <c r="B14" s="782">
        <v>821639.08999999962</v>
      </c>
    </row>
    <row r="15" spans="1:2" ht="18.5" x14ac:dyDescent="0.45">
      <c r="A15" s="784" t="s">
        <v>28</v>
      </c>
      <c r="B15" s="782">
        <v>784265.19000000146</v>
      </c>
    </row>
    <row r="16" spans="1:2" ht="18.5" x14ac:dyDescent="0.45">
      <c r="A16" s="784" t="s">
        <v>364</v>
      </c>
      <c r="B16" s="782">
        <v>754856.99400001811</v>
      </c>
    </row>
    <row r="17" spans="1:2" ht="18.5" x14ac:dyDescent="0.45">
      <c r="A17" s="784" t="s">
        <v>185</v>
      </c>
      <c r="B17" s="782">
        <v>663774.71000000322</v>
      </c>
    </row>
    <row r="18" spans="1:2" ht="18.5" x14ac:dyDescent="0.45">
      <c r="A18" s="784" t="s">
        <v>42</v>
      </c>
      <c r="B18" s="782">
        <v>663049.12000000104</v>
      </c>
    </row>
    <row r="19" spans="1:2" ht="18.5" x14ac:dyDescent="0.45">
      <c r="A19" s="784" t="s">
        <v>41</v>
      </c>
      <c r="B19" s="782">
        <v>604156.05999999959</v>
      </c>
    </row>
    <row r="20" spans="1:2" ht="18.5" x14ac:dyDescent="0.45">
      <c r="A20" s="784" t="s">
        <v>56</v>
      </c>
      <c r="B20" s="782">
        <v>583039.99999999953</v>
      </c>
    </row>
    <row r="21" spans="1:2" ht="18.5" x14ac:dyDescent="0.45">
      <c r="A21" s="784" t="s">
        <v>75</v>
      </c>
      <c r="B21" s="782">
        <v>581779.50000000151</v>
      </c>
    </row>
    <row r="22" spans="1:2" ht="18.5" x14ac:dyDescent="0.45">
      <c r="A22" s="784" t="s">
        <v>66</v>
      </c>
      <c r="B22" s="782">
        <v>470383.45</v>
      </c>
    </row>
    <row r="23" spans="1:2" ht="18.5" x14ac:dyDescent="0.45">
      <c r="A23" s="784" t="s">
        <v>68</v>
      </c>
      <c r="B23" s="782">
        <v>422002.73999999929</v>
      </c>
    </row>
    <row r="24" spans="1:2" ht="18.5" x14ac:dyDescent="0.45">
      <c r="A24" s="784" t="s">
        <v>509</v>
      </c>
      <c r="B24" s="782">
        <v>416348.50000000006</v>
      </c>
    </row>
    <row r="25" spans="1:2" ht="18.5" x14ac:dyDescent="0.45">
      <c r="A25" s="784" t="s">
        <v>507</v>
      </c>
      <c r="B25" s="782">
        <v>335591.07000000007</v>
      </c>
    </row>
    <row r="26" spans="1:2" ht="18.5" x14ac:dyDescent="0.45">
      <c r="A26" s="778" t="s">
        <v>511</v>
      </c>
      <c r="B26" s="782">
        <v>316908.69000000006</v>
      </c>
    </row>
    <row r="27" spans="1:2" ht="18.5" x14ac:dyDescent="0.45">
      <c r="A27" s="784" t="s">
        <v>52</v>
      </c>
      <c r="B27" s="782">
        <v>313552.88999999996</v>
      </c>
    </row>
    <row r="28" spans="1:2" ht="18.5" x14ac:dyDescent="0.45">
      <c r="A28" s="784" t="s">
        <v>483</v>
      </c>
      <c r="B28" s="782">
        <v>293934.57999999996</v>
      </c>
    </row>
    <row r="29" spans="1:2" ht="18.5" x14ac:dyDescent="0.45">
      <c r="A29" s="784" t="s">
        <v>466</v>
      </c>
      <c r="B29" s="782">
        <v>280908.32000000007</v>
      </c>
    </row>
    <row r="30" spans="1:2" ht="18.5" x14ac:dyDescent="0.45">
      <c r="A30" s="784" t="s">
        <v>334</v>
      </c>
      <c r="B30" s="782">
        <v>236223.99999999837</v>
      </c>
    </row>
    <row r="31" spans="1:2" ht="18.5" x14ac:dyDescent="0.45">
      <c r="A31" s="784" t="s">
        <v>366</v>
      </c>
      <c r="B31" s="782">
        <v>235141.77000000025</v>
      </c>
    </row>
    <row r="32" spans="1:2" ht="18.5" x14ac:dyDescent="0.45">
      <c r="A32" s="784" t="s">
        <v>39</v>
      </c>
      <c r="B32" s="782">
        <v>191026.66999999963</v>
      </c>
    </row>
    <row r="33" spans="1:2" ht="18.5" x14ac:dyDescent="0.45">
      <c r="A33" s="784" t="s">
        <v>85</v>
      </c>
      <c r="B33" s="782">
        <v>188165.99999999977</v>
      </c>
    </row>
    <row r="34" spans="1:2" ht="18.5" x14ac:dyDescent="0.45">
      <c r="A34" s="784" t="s">
        <v>367</v>
      </c>
      <c r="B34" s="782">
        <v>185067.69999999943</v>
      </c>
    </row>
    <row r="35" spans="1:2" ht="18.5" x14ac:dyDescent="0.45">
      <c r="A35" s="784" t="s">
        <v>86</v>
      </c>
      <c r="B35" s="782">
        <v>170544.00000000012</v>
      </c>
    </row>
    <row r="36" spans="1:2" ht="18.5" x14ac:dyDescent="0.45">
      <c r="A36" s="784" t="s">
        <v>65</v>
      </c>
      <c r="B36" s="782">
        <v>155083.88999999978</v>
      </c>
    </row>
    <row r="37" spans="1:2" ht="18.5" x14ac:dyDescent="0.45">
      <c r="A37" s="784" t="s">
        <v>50</v>
      </c>
      <c r="B37" s="782">
        <v>145404.97999999998</v>
      </c>
    </row>
    <row r="38" spans="1:2" ht="18.5" x14ac:dyDescent="0.45">
      <c r="A38" s="784" t="s">
        <v>459</v>
      </c>
      <c r="B38" s="782">
        <v>94994.15</v>
      </c>
    </row>
    <row r="39" spans="1:2" ht="18.5" x14ac:dyDescent="0.45">
      <c r="A39" s="784" t="s">
        <v>501</v>
      </c>
      <c r="B39" s="782">
        <v>76649.680000008069</v>
      </c>
    </row>
    <row r="40" spans="1:2" ht="18.5" x14ac:dyDescent="0.45">
      <c r="A40" s="784" t="s">
        <v>503</v>
      </c>
      <c r="B40" s="782">
        <v>73202.629999999976</v>
      </c>
    </row>
    <row r="41" spans="1:2" ht="18.5" x14ac:dyDescent="0.45">
      <c r="A41" s="784" t="s">
        <v>504</v>
      </c>
      <c r="B41" s="782">
        <v>70508.390000000014</v>
      </c>
    </row>
    <row r="42" spans="1:2" ht="18.5" x14ac:dyDescent="0.45">
      <c r="A42" s="778" t="s">
        <v>525</v>
      </c>
      <c r="B42" s="782">
        <v>64989.420000000006</v>
      </c>
    </row>
    <row r="43" spans="1:2" ht="18.5" x14ac:dyDescent="0.45">
      <c r="A43" s="784" t="s">
        <v>186</v>
      </c>
      <c r="B43" s="782">
        <v>33292.000000001062</v>
      </c>
    </row>
    <row r="44" spans="1:2" ht="18.5" x14ac:dyDescent="0.45">
      <c r="A44" s="784" t="s">
        <v>506</v>
      </c>
      <c r="B44" s="782">
        <v>32572.499999999818</v>
      </c>
    </row>
    <row r="45" spans="1:2" ht="18.5" x14ac:dyDescent="0.45">
      <c r="A45" s="784" t="s">
        <v>465</v>
      </c>
      <c r="B45" s="782">
        <v>30474.279999999984</v>
      </c>
    </row>
    <row r="46" spans="1:2" ht="18.5" x14ac:dyDescent="0.45">
      <c r="A46" s="784" t="s">
        <v>481</v>
      </c>
      <c r="B46" s="782">
        <v>24286.869999999995</v>
      </c>
    </row>
    <row r="47" spans="1:2" ht="18.5" x14ac:dyDescent="0.45">
      <c r="A47" s="784" t="s">
        <v>336</v>
      </c>
      <c r="B47" s="782">
        <v>23503.470000000343</v>
      </c>
    </row>
    <row r="48" spans="1:2" ht="18.5" x14ac:dyDescent="0.45">
      <c r="A48" s="784" t="s">
        <v>342</v>
      </c>
      <c r="B48" s="782">
        <v>18446.389999999974</v>
      </c>
    </row>
    <row r="49" spans="1:2" ht="18.5" x14ac:dyDescent="0.45">
      <c r="A49" s="784" t="s">
        <v>480</v>
      </c>
      <c r="B49" s="782">
        <v>18381.950000000026</v>
      </c>
    </row>
    <row r="50" spans="1:2" ht="18.5" x14ac:dyDescent="0.45">
      <c r="A50" s="778" t="s">
        <v>487</v>
      </c>
      <c r="B50" s="782">
        <v>17873.900000000001</v>
      </c>
    </row>
    <row r="51" spans="1:2" ht="18.5" x14ac:dyDescent="0.45">
      <c r="A51" s="784" t="s">
        <v>44</v>
      </c>
      <c r="B51" s="782">
        <v>16268.819999999418</v>
      </c>
    </row>
    <row r="52" spans="1:2" ht="18.5" x14ac:dyDescent="0.45">
      <c r="A52" s="784" t="s">
        <v>88</v>
      </c>
      <c r="B52" s="782">
        <v>15396</v>
      </c>
    </row>
    <row r="53" spans="1:2" ht="18.5" x14ac:dyDescent="0.45">
      <c r="A53" s="784" t="s">
        <v>46</v>
      </c>
      <c r="B53" s="782">
        <v>11719.379999999946</v>
      </c>
    </row>
    <row r="54" spans="1:2" ht="18.5" x14ac:dyDescent="0.45">
      <c r="A54" s="784" t="s">
        <v>502</v>
      </c>
      <c r="B54" s="782">
        <v>8773.1399999999958</v>
      </c>
    </row>
    <row r="55" spans="1:2" ht="18.5" x14ac:dyDescent="0.45">
      <c r="A55" s="778" t="s">
        <v>512</v>
      </c>
      <c r="B55" s="782">
        <v>8626.7800000000789</v>
      </c>
    </row>
    <row r="56" spans="1:2" ht="18.5" x14ac:dyDescent="0.45">
      <c r="A56" s="784" t="s">
        <v>505</v>
      </c>
      <c r="B56" s="782">
        <v>8345.2899999999208</v>
      </c>
    </row>
    <row r="57" spans="1:2" ht="18.5" x14ac:dyDescent="0.45">
      <c r="A57" s="784" t="s">
        <v>81</v>
      </c>
      <c r="B57" s="782">
        <v>987.64999999996508</v>
      </c>
    </row>
    <row r="58" spans="1:2" ht="18.5" x14ac:dyDescent="0.45">
      <c r="A58" s="784" t="s">
        <v>369</v>
      </c>
      <c r="B58" s="782">
        <v>834.78</v>
      </c>
    </row>
    <row r="59" spans="1:2" ht="18.5" x14ac:dyDescent="0.45">
      <c r="A59" s="784" t="s">
        <v>508</v>
      </c>
      <c r="B59" s="782">
        <v>731.7</v>
      </c>
    </row>
    <row r="60" spans="1:2" ht="18.5" x14ac:dyDescent="0.45">
      <c r="A60" s="784" t="s">
        <v>363</v>
      </c>
      <c r="B60" s="782">
        <v>9.9000000413507223</v>
      </c>
    </row>
    <row r="61" spans="1:2" ht="18.5" x14ac:dyDescent="0.45">
      <c r="A61" s="778" t="s">
        <v>526</v>
      </c>
      <c r="B61" s="782">
        <v>5</v>
      </c>
    </row>
    <row r="62" spans="1:2" ht="18.5" x14ac:dyDescent="0.45">
      <c r="A62" s="784" t="s">
        <v>73</v>
      </c>
      <c r="B62" s="782">
        <v>9.9999999743886292E-2</v>
      </c>
    </row>
    <row r="63" spans="1:2" ht="18.5" x14ac:dyDescent="0.45">
      <c r="A63" s="784" t="s">
        <v>340</v>
      </c>
      <c r="B63" s="782">
        <v>1.999999862164259E-3</v>
      </c>
    </row>
    <row r="64" spans="1:2" ht="18.5" x14ac:dyDescent="0.45">
      <c r="A64" s="784" t="s">
        <v>368</v>
      </c>
      <c r="B64" s="782">
        <v>2.7939677238464355E-9</v>
      </c>
    </row>
    <row r="65" spans="1:2" ht="18.5" x14ac:dyDescent="0.45">
      <c r="A65" s="801" t="s">
        <v>51</v>
      </c>
      <c r="B65" s="782">
        <v>4.6566128730773926E-10</v>
      </c>
    </row>
    <row r="66" spans="1:2" ht="18.5" x14ac:dyDescent="0.45">
      <c r="A66" s="806" t="s">
        <v>70</v>
      </c>
      <c r="B66" s="782">
        <v>4.6566128730773926E-10</v>
      </c>
    </row>
    <row r="67" spans="1:2" ht="18.5" x14ac:dyDescent="0.45">
      <c r="A67" s="806" t="s">
        <v>486</v>
      </c>
      <c r="B67" s="782">
        <v>1.0913936421275139E-11</v>
      </c>
    </row>
    <row r="68" spans="1:2" ht="18.5" x14ac:dyDescent="0.45">
      <c r="A68" s="806" t="s">
        <v>461</v>
      </c>
      <c r="B68" s="782">
        <v>0</v>
      </c>
    </row>
    <row r="69" spans="1:2" ht="18.5" x14ac:dyDescent="0.45">
      <c r="A69" s="806" t="s">
        <v>500</v>
      </c>
      <c r="B69" s="782">
        <v>0</v>
      </c>
    </row>
    <row r="70" spans="1:2" ht="18.5" x14ac:dyDescent="0.45">
      <c r="A70" s="806" t="s">
        <v>309</v>
      </c>
      <c r="B70" s="782">
        <v>0</v>
      </c>
    </row>
    <row r="71" spans="1:2" ht="18.5" x14ac:dyDescent="0.45">
      <c r="A71" s="801" t="s">
        <v>463</v>
      </c>
      <c r="B71" s="782">
        <v>0</v>
      </c>
    </row>
    <row r="72" spans="1:2" ht="18.5" x14ac:dyDescent="0.45">
      <c r="A72" s="801" t="s">
        <v>484</v>
      </c>
      <c r="B72" s="782">
        <v>-4.5474735088646412E-13</v>
      </c>
    </row>
    <row r="73" spans="1:2" ht="18.5" x14ac:dyDescent="0.45">
      <c r="A73" s="806" t="s">
        <v>460</v>
      </c>
      <c r="B73" s="782">
        <v>-7.2759576141834259E-12</v>
      </c>
    </row>
    <row r="74" spans="1:2" ht="18.5" x14ac:dyDescent="0.45">
      <c r="A74" s="801" t="s">
        <v>510</v>
      </c>
      <c r="B74" s="782">
        <v>-1.4551915228366852E-11</v>
      </c>
    </row>
    <row r="75" spans="1:2" ht="18.5" x14ac:dyDescent="0.45">
      <c r="A75" s="806" t="s">
        <v>59</v>
      </c>
      <c r="B75" s="782">
        <v>-2.1827872842550278E-11</v>
      </c>
    </row>
    <row r="76" spans="1:2" ht="18.5" x14ac:dyDescent="0.45">
      <c r="A76" s="806" t="s">
        <v>197</v>
      </c>
      <c r="B76" s="782">
        <v>-2.9103830456733704E-11</v>
      </c>
    </row>
    <row r="77" spans="1:2" ht="18.5" x14ac:dyDescent="0.45">
      <c r="A77" s="806" t="s">
        <v>482</v>
      </c>
      <c r="B77" s="782">
        <v>-2.9103830456733704E-11</v>
      </c>
    </row>
    <row r="78" spans="1:2" ht="18.5" x14ac:dyDescent="0.45">
      <c r="A78" s="643" t="s">
        <v>58</v>
      </c>
      <c r="B78" s="782">
        <v>-2.5611370801925659E-9</v>
      </c>
    </row>
    <row r="79" spans="1:2" ht="18.5" x14ac:dyDescent="0.45">
      <c r="A79" s="806" t="s">
        <v>60</v>
      </c>
      <c r="B79" s="782">
        <v>-9.9999841768294573E-4</v>
      </c>
    </row>
    <row r="80" spans="1:2" ht="18.5" x14ac:dyDescent="0.45">
      <c r="A80" s="806" t="s">
        <v>26</v>
      </c>
      <c r="B80" s="782">
        <v>-7.9999987967312336E-2</v>
      </c>
    </row>
    <row r="81" spans="1:2" ht="18.5" x14ac:dyDescent="0.45">
      <c r="A81" s="806" t="s">
        <v>57</v>
      </c>
      <c r="B81" s="782">
        <v>-0.10999999893829226</v>
      </c>
    </row>
    <row r="82" spans="1:2" ht="18.5" x14ac:dyDescent="0.45">
      <c r="A82" s="801" t="s">
        <v>370</v>
      </c>
      <c r="B82" s="782">
        <v>-2.0000000009604264</v>
      </c>
    </row>
    <row r="83" spans="1:2" ht="18.5" x14ac:dyDescent="0.45">
      <c r="A83" s="806" t="s">
        <v>343</v>
      </c>
      <c r="B83" s="782">
        <v>-36.199999999837019</v>
      </c>
    </row>
    <row r="84" spans="1:2" ht="18.5" x14ac:dyDescent="0.45">
      <c r="A84" s="806" t="s">
        <v>91</v>
      </c>
      <c r="B84" s="782">
        <v>-501.40999999968335</v>
      </c>
    </row>
    <row r="85" spans="1:2" ht="18.5" x14ac:dyDescent="0.45">
      <c r="A85" s="806" t="s">
        <v>80</v>
      </c>
      <c r="B85" s="782">
        <v>-2184.6839999999829</v>
      </c>
    </row>
    <row r="86" spans="1:2" ht="18.5" x14ac:dyDescent="0.45">
      <c r="A86" s="643" t="s">
        <v>189</v>
      </c>
      <c r="B86" s="782">
        <v>-2348.8999999994412</v>
      </c>
    </row>
    <row r="87" spans="1:2" ht="18.5" x14ac:dyDescent="0.45">
      <c r="A87" s="806" t="s">
        <v>417</v>
      </c>
      <c r="B87" s="782">
        <v>-2858.9200000000928</v>
      </c>
    </row>
    <row r="88" spans="1:2" ht="18.5" x14ac:dyDescent="0.45">
      <c r="A88" s="806" t="s">
        <v>89</v>
      </c>
      <c r="B88" s="782">
        <v>-4655.5600000000559</v>
      </c>
    </row>
    <row r="89" spans="1:2" ht="18.5" x14ac:dyDescent="0.45">
      <c r="A89" s="801" t="s">
        <v>63</v>
      </c>
      <c r="B89" s="782">
        <v>-4925.8499999995111</v>
      </c>
    </row>
    <row r="90" spans="1:2" ht="18.5" x14ac:dyDescent="0.45">
      <c r="A90" s="806" t="s">
        <v>84</v>
      </c>
      <c r="B90" s="782">
        <v>-5959.0299999996205</v>
      </c>
    </row>
    <row r="91" spans="1:2" ht="18.5" x14ac:dyDescent="0.45">
      <c r="A91" s="806" t="s">
        <v>76</v>
      </c>
      <c r="B91" s="782">
        <v>-6676.2799999998833</v>
      </c>
    </row>
    <row r="92" spans="1:2" ht="18.5" x14ac:dyDescent="0.45">
      <c r="A92" s="806" t="s">
        <v>308</v>
      </c>
      <c r="B92" s="782">
        <v>-7987.0000000020955</v>
      </c>
    </row>
    <row r="93" spans="1:2" ht="18.5" x14ac:dyDescent="0.45">
      <c r="A93" s="806" t="s">
        <v>485</v>
      </c>
      <c r="B93" s="782">
        <v>-13495.100000000108</v>
      </c>
    </row>
    <row r="94" spans="1:2" ht="18.5" x14ac:dyDescent="0.45">
      <c r="A94" s="806" t="s">
        <v>439</v>
      </c>
      <c r="B94" s="782">
        <v>-21803.759999999998</v>
      </c>
    </row>
    <row r="95" spans="1:2" ht="18.5" x14ac:dyDescent="0.45">
      <c r="A95" s="806" t="s">
        <v>191</v>
      </c>
      <c r="B95" s="782">
        <v>-29297.360000000015</v>
      </c>
    </row>
    <row r="96" spans="1:2" ht="18.5" x14ac:dyDescent="0.45">
      <c r="A96" s="806" t="s">
        <v>77</v>
      </c>
      <c r="B96" s="782">
        <v>-35689.800000000032</v>
      </c>
    </row>
    <row r="97" spans="1:2" ht="18.5" x14ac:dyDescent="0.45">
      <c r="A97" s="806" t="s">
        <v>435</v>
      </c>
      <c r="B97" s="782">
        <v>-39944.120000000003</v>
      </c>
    </row>
    <row r="98" spans="1:2" ht="18.5" x14ac:dyDescent="0.45">
      <c r="A98" s="806" t="s">
        <v>78</v>
      </c>
      <c r="B98" s="782">
        <v>-113497.31999998927</v>
      </c>
    </row>
    <row r="99" spans="1:2" ht="18.5" x14ac:dyDescent="0.45">
      <c r="A99" s="806" t="s">
        <v>194</v>
      </c>
      <c r="B99" s="782">
        <v>-115236.29000000001</v>
      </c>
    </row>
    <row r="100" spans="1:2" ht="18.5" x14ac:dyDescent="0.45">
      <c r="A100" s="806" t="s">
        <v>441</v>
      </c>
      <c r="B100" s="782">
        <v>-135954.03000000003</v>
      </c>
    </row>
    <row r="101" spans="1:2" ht="18.5" x14ac:dyDescent="0.45">
      <c r="A101" s="806" t="s">
        <v>371</v>
      </c>
      <c r="B101" s="782">
        <v>-207956.99000000008</v>
      </c>
    </row>
    <row r="102" spans="1:2" ht="18.5" x14ac:dyDescent="0.45">
      <c r="A102" s="806" t="s">
        <v>55</v>
      </c>
      <c r="B102" s="782">
        <v>-221089.2</v>
      </c>
    </row>
    <row r="103" spans="1:2" ht="18.5" x14ac:dyDescent="0.45">
      <c r="A103" s="806" t="s">
        <v>190</v>
      </c>
      <c r="B103" s="782">
        <v>-265954.98</v>
      </c>
    </row>
    <row r="104" spans="1:2" ht="18.5" x14ac:dyDescent="0.45">
      <c r="A104" s="643" t="s">
        <v>24</v>
      </c>
      <c r="B104" s="782">
        <v>-296083.71599999687</v>
      </c>
    </row>
    <row r="105" spans="1:2" ht="18.5" x14ac:dyDescent="0.45">
      <c r="A105" s="643" t="s">
        <v>31</v>
      </c>
      <c r="B105" s="782">
        <v>-433922.12999999058</v>
      </c>
    </row>
    <row r="106" spans="1:2" ht="18.5" x14ac:dyDescent="0.45">
      <c r="A106" s="806" t="s">
        <v>438</v>
      </c>
      <c r="B106" s="819">
        <v>-1120862.76</v>
      </c>
    </row>
  </sheetData>
  <sortState xmlns:xlrd2="http://schemas.microsoft.com/office/spreadsheetml/2017/richdata2" ref="A1:B106">
    <sortCondition descending="1" ref="B1:B106"/>
  </sortState>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B97EE-D6E5-4655-A950-A087C542AF16}">
  <dimension ref="A1:C106"/>
  <sheetViews>
    <sheetView workbookViewId="0">
      <selection activeCell="F13" sqref="F13"/>
    </sheetView>
  </sheetViews>
  <sheetFormatPr defaultRowHeight="14.5" x14ac:dyDescent="0.35"/>
  <cols>
    <col min="1" max="1" width="83.90625" customWidth="1"/>
    <col min="2" max="2" width="26.08984375" style="327" customWidth="1"/>
    <col min="3" max="3" width="18.453125" customWidth="1"/>
  </cols>
  <sheetData>
    <row r="1" spans="1:3" ht="21" x14ac:dyDescent="0.5">
      <c r="A1" s="631" t="s">
        <v>666</v>
      </c>
      <c r="B1" s="327">
        <v>38443757.316600055</v>
      </c>
      <c r="C1" s="591">
        <f>Sheet17!B1-Sheet16!B1</f>
        <v>38443757.316600069</v>
      </c>
    </row>
    <row r="2" spans="1:3" ht="21" x14ac:dyDescent="0.5">
      <c r="A2" s="631" t="s">
        <v>227</v>
      </c>
      <c r="B2" s="327">
        <v>23486405.920000002</v>
      </c>
      <c r="C2" s="591">
        <f>Sheet17!B2-Sheet18!B2</f>
        <v>0</v>
      </c>
    </row>
    <row r="3" spans="1:3" ht="21" x14ac:dyDescent="0.5">
      <c r="A3" s="631" t="s">
        <v>667</v>
      </c>
      <c r="B3" s="327">
        <v>9286846.0960000083</v>
      </c>
      <c r="C3" s="591">
        <f>Sheet17!B3-Sheet18!B3</f>
        <v>1.9999999981373549</v>
      </c>
    </row>
    <row r="4" spans="1:3" ht="21" x14ac:dyDescent="0.5">
      <c r="A4" s="631" t="s">
        <v>224</v>
      </c>
      <c r="B4" s="327">
        <v>7436233.7799999984</v>
      </c>
      <c r="C4" s="591">
        <f>Sheet17!B4-Sheet18!B4</f>
        <v>0</v>
      </c>
    </row>
    <row r="5" spans="1:3" ht="21" x14ac:dyDescent="0.5">
      <c r="A5" s="631" t="s">
        <v>247</v>
      </c>
      <c r="B5" s="327">
        <v>4333319.8599999947</v>
      </c>
      <c r="C5" s="591">
        <f>Sheet17!B5-Sheet18!B5</f>
        <v>0</v>
      </c>
    </row>
    <row r="6" spans="1:3" ht="21" x14ac:dyDescent="0.5">
      <c r="A6" s="631" t="s">
        <v>234</v>
      </c>
      <c r="B6" s="327">
        <v>2150541.9600000004</v>
      </c>
      <c r="C6" s="591">
        <f>Sheet17!B6-Sheet18!B6</f>
        <v>-1.7000003717839718E-3</v>
      </c>
    </row>
    <row r="7" spans="1:3" ht="21" x14ac:dyDescent="0.5">
      <c r="A7" s="631" t="s">
        <v>225</v>
      </c>
      <c r="B7" s="327">
        <v>2138977.5100000091</v>
      </c>
      <c r="C7" s="591">
        <f>Sheet17!B7-Sheet18!B7</f>
        <v>0</v>
      </c>
    </row>
    <row r="8" spans="1:3" ht="21" x14ac:dyDescent="0.5">
      <c r="A8" s="631" t="s">
        <v>215</v>
      </c>
      <c r="B8" s="327">
        <v>1911451.4200000013</v>
      </c>
      <c r="C8" s="591">
        <f>Sheet17!B8-Sheet18!B8</f>
        <v>0</v>
      </c>
    </row>
    <row r="9" spans="1:3" ht="21" x14ac:dyDescent="0.5">
      <c r="A9" s="631" t="s">
        <v>263</v>
      </c>
      <c r="B9" s="327">
        <v>1760423.5899999996</v>
      </c>
      <c r="C9" s="591">
        <f>Sheet17!B9-Sheet18!B9</f>
        <v>0</v>
      </c>
    </row>
    <row r="10" spans="1:3" ht="21" x14ac:dyDescent="0.5">
      <c r="A10" s="631" t="s">
        <v>669</v>
      </c>
      <c r="B10" s="327">
        <v>1573979.35</v>
      </c>
      <c r="C10" s="591">
        <f>Sheet17!B10-Sheet18!B10</f>
        <v>0</v>
      </c>
    </row>
    <row r="11" spans="1:3" ht="21" x14ac:dyDescent="0.5">
      <c r="A11" s="631" t="s">
        <v>287</v>
      </c>
      <c r="B11" s="327">
        <v>1035148.4100000001</v>
      </c>
      <c r="C11" s="591">
        <f>Sheet17!B11-Sheet18!B11</f>
        <v>-1.5133991837501526E-9</v>
      </c>
    </row>
    <row r="12" spans="1:3" ht="21" x14ac:dyDescent="0.5">
      <c r="A12" s="631" t="s">
        <v>264</v>
      </c>
      <c r="B12" s="327">
        <v>1034162.01</v>
      </c>
      <c r="C12" s="591">
        <f>Sheet17!B12-Sheet18!B12</f>
        <v>-3.6088749766349792E-9</v>
      </c>
    </row>
    <row r="13" spans="1:3" ht="21" x14ac:dyDescent="0.5">
      <c r="A13" s="631" t="s">
        <v>265</v>
      </c>
      <c r="B13" s="327">
        <v>863155.69</v>
      </c>
      <c r="C13" s="591">
        <f>Sheet17!B13-Sheet18!B13</f>
        <v>0</v>
      </c>
    </row>
    <row r="14" spans="1:3" ht="21" x14ac:dyDescent="0.5">
      <c r="A14" s="631" t="s">
        <v>256</v>
      </c>
      <c r="B14" s="327">
        <v>821639.08999999962</v>
      </c>
      <c r="C14" s="591">
        <f>Sheet17!B14-Sheet18!B14</f>
        <v>0</v>
      </c>
    </row>
    <row r="15" spans="1:3" ht="21" x14ac:dyDescent="0.5">
      <c r="A15" s="631" t="s">
        <v>674</v>
      </c>
      <c r="B15" s="327">
        <v>784265.19000000122</v>
      </c>
      <c r="C15" s="591">
        <f>Sheet17!B15-Sheet18!B15</f>
        <v>0</v>
      </c>
    </row>
    <row r="16" spans="1:3" ht="21" x14ac:dyDescent="0.5">
      <c r="A16" s="631" t="s">
        <v>278</v>
      </c>
      <c r="B16" s="327">
        <v>754856.99400001811</v>
      </c>
      <c r="C16" s="591">
        <f>Sheet17!B16-Sheet18!B16</f>
        <v>0</v>
      </c>
    </row>
    <row r="17" spans="1:3" ht="21" x14ac:dyDescent="0.5">
      <c r="A17" s="631" t="s">
        <v>675</v>
      </c>
      <c r="B17" s="327">
        <v>663774.71000000008</v>
      </c>
      <c r="C17" s="591">
        <f>Sheet17!B17-Sheet18!B17</f>
        <v>3.14321368932724E-9</v>
      </c>
    </row>
    <row r="18" spans="1:3" ht="21" x14ac:dyDescent="0.5">
      <c r="A18" s="631" t="s">
        <v>237</v>
      </c>
      <c r="B18" s="327">
        <v>663049.12</v>
      </c>
      <c r="C18" s="591">
        <f>Sheet17!B18-Sheet18!B18</f>
        <v>1.0477378964424133E-9</v>
      </c>
    </row>
    <row r="19" spans="1:3" ht="21" x14ac:dyDescent="0.5">
      <c r="A19" s="631" t="s">
        <v>286</v>
      </c>
      <c r="B19" s="327">
        <v>604156.05999999994</v>
      </c>
      <c r="C19" s="591">
        <f>Sheet17!B19-Sheet18!B19</f>
        <v>0</v>
      </c>
    </row>
    <row r="20" spans="1:3" ht="21" x14ac:dyDescent="0.5">
      <c r="A20" s="631" t="s">
        <v>243</v>
      </c>
      <c r="B20" s="327">
        <v>583040</v>
      </c>
      <c r="C20" s="591">
        <f>Sheet17!B20-Sheet18!B20</f>
        <v>0</v>
      </c>
    </row>
    <row r="21" spans="1:3" ht="21" x14ac:dyDescent="0.5">
      <c r="A21" s="631" t="s">
        <v>218</v>
      </c>
      <c r="B21" s="327">
        <v>581779.5</v>
      </c>
      <c r="C21" s="591">
        <f>Sheet17!B21-Sheet18!B21</f>
        <v>1.5133991837501526E-9</v>
      </c>
    </row>
    <row r="22" spans="1:3" ht="21" x14ac:dyDescent="0.5">
      <c r="A22" s="631" t="s">
        <v>267</v>
      </c>
      <c r="B22" s="327">
        <v>470383.45</v>
      </c>
      <c r="C22" s="591">
        <f>Sheet17!B22-Sheet18!B22</f>
        <v>0</v>
      </c>
    </row>
    <row r="23" spans="1:3" ht="21" x14ac:dyDescent="0.5">
      <c r="A23" s="631" t="s">
        <v>255</v>
      </c>
      <c r="B23" s="327">
        <v>422002.74</v>
      </c>
      <c r="C23" s="591">
        <f>Sheet17!B23-Sheet18!B23</f>
        <v>-6.9849193096160889E-10</v>
      </c>
    </row>
    <row r="24" spans="1:3" ht="21" x14ac:dyDescent="0.5">
      <c r="A24" s="631" t="s">
        <v>509</v>
      </c>
      <c r="B24" s="327">
        <v>416348.5</v>
      </c>
      <c r="C24" s="591">
        <f>Sheet17!B24-Sheet18!B24</f>
        <v>0</v>
      </c>
    </row>
    <row r="25" spans="1:3" ht="21" x14ac:dyDescent="0.5">
      <c r="A25" s="633" t="s">
        <v>686</v>
      </c>
      <c r="B25" s="327">
        <v>335591.07</v>
      </c>
      <c r="C25" s="591">
        <f>Sheet17!B25-Sheet18!B25</f>
        <v>0</v>
      </c>
    </row>
    <row r="26" spans="1:3" ht="21" x14ac:dyDescent="0.5">
      <c r="A26" s="631" t="s">
        <v>511</v>
      </c>
      <c r="B26" s="327">
        <v>316908.69</v>
      </c>
      <c r="C26" s="591">
        <f>Sheet17!B26-Sheet18!B26</f>
        <v>0</v>
      </c>
    </row>
    <row r="27" spans="1:3" ht="21" x14ac:dyDescent="0.5">
      <c r="A27" s="631" t="s">
        <v>216</v>
      </c>
      <c r="B27" s="327">
        <v>313552.88999999996</v>
      </c>
      <c r="C27" s="591">
        <f>Sheet17!B27-Sheet18!B27</f>
        <v>0</v>
      </c>
    </row>
    <row r="28" spans="1:3" ht="21" x14ac:dyDescent="0.5">
      <c r="A28" s="631" t="s">
        <v>111</v>
      </c>
      <c r="B28" s="327">
        <v>293934.57999999996</v>
      </c>
      <c r="C28" s="591">
        <f>Sheet17!B28-Sheet18!B28</f>
        <v>0</v>
      </c>
    </row>
    <row r="29" spans="1:3" ht="21" x14ac:dyDescent="0.5">
      <c r="A29" s="632" t="s">
        <v>683</v>
      </c>
      <c r="B29" s="327">
        <v>280908.32</v>
      </c>
      <c r="C29" s="591">
        <f>Sheet17!B29-Sheet18!B29</f>
        <v>0</v>
      </c>
    </row>
    <row r="30" spans="1:3" ht="21" x14ac:dyDescent="0.5">
      <c r="A30" s="631" t="s">
        <v>219</v>
      </c>
      <c r="B30" s="327">
        <v>236224</v>
      </c>
      <c r="C30" s="591">
        <f>Sheet17!B30-Sheet18!B30</f>
        <v>-1.6298145055770874E-9</v>
      </c>
    </row>
    <row r="31" spans="1:3" ht="21" x14ac:dyDescent="0.5">
      <c r="A31" s="631" t="s">
        <v>681</v>
      </c>
      <c r="B31" s="327">
        <v>235141.77000000025</v>
      </c>
      <c r="C31" s="591">
        <f>Sheet17!B31-Sheet18!B31</f>
        <v>0</v>
      </c>
    </row>
    <row r="32" spans="1:3" ht="21" x14ac:dyDescent="0.5">
      <c r="A32" s="631" t="s">
        <v>270</v>
      </c>
      <c r="B32" s="327">
        <v>191026.66999999917</v>
      </c>
      <c r="C32" s="591">
        <f>Sheet17!B32-Sheet18!B32</f>
        <v>4.6566128730773926E-10</v>
      </c>
    </row>
    <row r="33" spans="1:3" ht="21" x14ac:dyDescent="0.5">
      <c r="A33" s="631" t="s">
        <v>222</v>
      </c>
      <c r="B33" s="327">
        <v>188166</v>
      </c>
      <c r="C33" s="591">
        <f>Sheet17!B33-Sheet18!B33</f>
        <v>-2.3283064365386963E-10</v>
      </c>
    </row>
    <row r="34" spans="1:3" ht="21" x14ac:dyDescent="0.5">
      <c r="A34" s="631" t="s">
        <v>680</v>
      </c>
      <c r="B34" s="327">
        <v>185067.7</v>
      </c>
      <c r="C34" s="591">
        <f>Sheet17!B34-Sheet18!B34</f>
        <v>-5.8207660913467407E-10</v>
      </c>
    </row>
    <row r="35" spans="1:3" ht="21" x14ac:dyDescent="0.5">
      <c r="A35" s="631" t="s">
        <v>246</v>
      </c>
      <c r="B35" s="327">
        <v>170544</v>
      </c>
      <c r="C35" s="591">
        <f>Sheet17!B35-Sheet18!B35</f>
        <v>0</v>
      </c>
    </row>
    <row r="36" spans="1:3" ht="21" x14ac:dyDescent="0.5">
      <c r="A36" s="631" t="s">
        <v>271</v>
      </c>
      <c r="B36" s="327">
        <v>155083.89000000001</v>
      </c>
      <c r="C36" s="591">
        <f>Sheet17!B36-Sheet18!B36</f>
        <v>-2.3283064365386963E-10</v>
      </c>
    </row>
    <row r="37" spans="1:3" ht="21" x14ac:dyDescent="0.5">
      <c r="A37" s="631" t="s">
        <v>279</v>
      </c>
      <c r="B37" s="327">
        <v>145404.98000000001</v>
      </c>
      <c r="C37" s="591">
        <f>Sheet17!B37-Sheet18!B37</f>
        <v>0</v>
      </c>
    </row>
    <row r="38" spans="1:3" ht="21" x14ac:dyDescent="0.5">
      <c r="A38" s="631" t="s">
        <v>459</v>
      </c>
      <c r="B38" s="327">
        <v>94994.15</v>
      </c>
      <c r="C38" s="591">
        <f>Sheet17!B38-Sheet18!B38</f>
        <v>0</v>
      </c>
    </row>
    <row r="39" spans="1:3" ht="21" x14ac:dyDescent="0.5">
      <c r="A39" s="647" t="s">
        <v>677</v>
      </c>
      <c r="B39" s="327">
        <v>76649.6783001781</v>
      </c>
      <c r="C39" s="591">
        <f>Sheet17!B39-Sheet18!B39</f>
        <v>1.6998299688566476E-3</v>
      </c>
    </row>
    <row r="40" spans="1:3" ht="21" x14ac:dyDescent="0.5">
      <c r="A40" s="631" t="s">
        <v>503</v>
      </c>
      <c r="B40" s="327">
        <v>73202.629999999976</v>
      </c>
      <c r="C40" s="591">
        <f>Sheet17!B40-Sheet18!B40</f>
        <v>0</v>
      </c>
    </row>
    <row r="41" spans="1:3" ht="21" x14ac:dyDescent="0.5">
      <c r="A41" s="631" t="s">
        <v>504</v>
      </c>
      <c r="B41" s="327">
        <v>70508.390000000014</v>
      </c>
      <c r="C41" s="591">
        <f>Sheet17!B41-Sheet18!B41</f>
        <v>0</v>
      </c>
    </row>
    <row r="42" spans="1:3" ht="21" x14ac:dyDescent="0.5">
      <c r="A42" s="631" t="s">
        <v>525</v>
      </c>
      <c r="B42" s="327">
        <v>64989.42</v>
      </c>
      <c r="C42" s="591">
        <f>Sheet17!B42-Sheet18!B42</f>
        <v>0</v>
      </c>
    </row>
    <row r="43" spans="1:3" ht="21" x14ac:dyDescent="0.5">
      <c r="A43" s="631" t="s">
        <v>685</v>
      </c>
      <c r="B43" s="327">
        <v>33292.000000000029</v>
      </c>
      <c r="C43" s="591">
        <f>Sheet17!B43-Sheet18!B43</f>
        <v>1.0331859812140465E-9</v>
      </c>
    </row>
    <row r="44" spans="1:3" ht="21" x14ac:dyDescent="0.5">
      <c r="A44" s="633" t="s">
        <v>693</v>
      </c>
      <c r="B44" s="327">
        <v>32572.510000000002</v>
      </c>
      <c r="C44" s="591">
        <f>Sheet17!B44-Sheet18!B44</f>
        <v>-1.0000000183936208E-2</v>
      </c>
    </row>
    <row r="45" spans="1:3" ht="21" x14ac:dyDescent="0.5">
      <c r="A45" s="631" t="s">
        <v>684</v>
      </c>
      <c r="B45" s="327">
        <v>30474.279999999984</v>
      </c>
      <c r="C45" s="591">
        <f>Sheet17!B45-Sheet18!B45</f>
        <v>0</v>
      </c>
    </row>
    <row r="46" spans="1:3" ht="21" x14ac:dyDescent="0.5">
      <c r="A46" s="646" t="s">
        <v>679</v>
      </c>
      <c r="B46" s="327">
        <v>24286.87000000001</v>
      </c>
      <c r="C46" s="591">
        <f>Sheet17!B46-Sheet18!B46</f>
        <v>0</v>
      </c>
    </row>
    <row r="47" spans="1:3" ht="21" x14ac:dyDescent="0.5">
      <c r="A47" s="631" t="s">
        <v>688</v>
      </c>
      <c r="B47" s="327">
        <v>23503.47</v>
      </c>
      <c r="C47" s="591">
        <f>Sheet17!B47-Sheet18!B47</f>
        <v>3.4197000786662102E-10</v>
      </c>
    </row>
    <row r="48" spans="1:3" ht="21" x14ac:dyDescent="0.5">
      <c r="A48" s="631" t="s">
        <v>697</v>
      </c>
      <c r="B48" s="327">
        <v>18446.39</v>
      </c>
      <c r="C48" s="591">
        <f>Sheet17!B48-Sheet18!B48</f>
        <v>0</v>
      </c>
    </row>
    <row r="49" spans="1:3" ht="21" x14ac:dyDescent="0.5">
      <c r="A49" s="631" t="s">
        <v>480</v>
      </c>
      <c r="B49" s="327">
        <v>18381.95</v>
      </c>
      <c r="C49" s="591">
        <f>Sheet17!B49-Sheet18!B49</f>
        <v>0</v>
      </c>
    </row>
    <row r="50" spans="1:3" ht="21" x14ac:dyDescent="0.5">
      <c r="A50" s="632" t="s">
        <v>691</v>
      </c>
      <c r="B50" s="327">
        <v>17873.900000000001</v>
      </c>
      <c r="C50" s="591">
        <f>Sheet17!B50-Sheet18!B50</f>
        <v>0</v>
      </c>
    </row>
    <row r="51" spans="1:3" ht="21" x14ac:dyDescent="0.5">
      <c r="A51" s="633" t="s">
        <v>692</v>
      </c>
      <c r="B51" s="327">
        <v>16268.82</v>
      </c>
      <c r="C51" s="591">
        <f>Sheet17!B51-Sheet18!B51</f>
        <v>-5.8207660913467407E-10</v>
      </c>
    </row>
    <row r="52" spans="1:3" ht="21" x14ac:dyDescent="0.5">
      <c r="A52" s="631" t="s">
        <v>250</v>
      </c>
      <c r="B52" s="327">
        <v>15396</v>
      </c>
      <c r="C52" s="591">
        <f>Sheet17!B52-Sheet18!B52</f>
        <v>0</v>
      </c>
    </row>
    <row r="53" spans="1:3" ht="21" x14ac:dyDescent="0.5">
      <c r="A53" s="631" t="s">
        <v>276</v>
      </c>
      <c r="B53" s="327">
        <v>11719.379999999946</v>
      </c>
      <c r="C53" s="591">
        <f>Sheet17!B53-Sheet18!B53</f>
        <v>0</v>
      </c>
    </row>
    <row r="54" spans="1:3" ht="21" x14ac:dyDescent="0.5">
      <c r="A54" s="631" t="s">
        <v>502</v>
      </c>
      <c r="B54" s="327">
        <v>8773.1399999999958</v>
      </c>
      <c r="C54" s="591">
        <f>Sheet17!B54-Sheet18!B54</f>
        <v>0</v>
      </c>
    </row>
    <row r="55" spans="1:3" ht="21" x14ac:dyDescent="0.5">
      <c r="A55" s="631" t="s">
        <v>695</v>
      </c>
      <c r="B55" s="327">
        <v>8626.7799999999988</v>
      </c>
      <c r="C55" s="591">
        <f>Sheet17!B55-Sheet18!B55</f>
        <v>8.0035533756017685E-11</v>
      </c>
    </row>
    <row r="56" spans="1:3" ht="21" x14ac:dyDescent="0.5">
      <c r="A56" s="633" t="s">
        <v>505</v>
      </c>
      <c r="B56" s="327">
        <v>8345.2899999999991</v>
      </c>
      <c r="C56" s="591">
        <f>Sheet17!B56-Sheet18!B56</f>
        <v>-7.8216544352471828E-11</v>
      </c>
    </row>
    <row r="57" spans="1:3" ht="21" x14ac:dyDescent="0.5">
      <c r="A57" s="631" t="s">
        <v>235</v>
      </c>
      <c r="B57" s="327">
        <v>987.6499999999869</v>
      </c>
      <c r="C57" s="591">
        <f>Sheet17!B57-Sheet18!B57</f>
        <v>-2.1827872842550278E-11</v>
      </c>
    </row>
    <row r="58" spans="1:3" ht="21" x14ac:dyDescent="0.5">
      <c r="A58" s="631" t="s">
        <v>128</v>
      </c>
      <c r="B58" s="327">
        <v>834.78</v>
      </c>
      <c r="C58" s="591">
        <f>Sheet17!B58-Sheet18!B58</f>
        <v>0</v>
      </c>
    </row>
    <row r="59" spans="1:3" ht="21" x14ac:dyDescent="0.5">
      <c r="A59" s="631" t="s">
        <v>508</v>
      </c>
      <c r="B59" s="327">
        <v>731.7</v>
      </c>
      <c r="C59" s="591">
        <f>Sheet17!B59-Sheet18!B59</f>
        <v>0</v>
      </c>
    </row>
    <row r="60" spans="1:3" ht="21" x14ac:dyDescent="0.5">
      <c r="A60" s="631" t="s">
        <v>668</v>
      </c>
      <c r="B60" s="327">
        <v>9.9</v>
      </c>
      <c r="C60" s="591">
        <f>Sheet17!B60-Sheet18!B60</f>
        <v>4.1350721957655878E-8</v>
      </c>
    </row>
    <row r="61" spans="1:3" ht="21" x14ac:dyDescent="0.5">
      <c r="A61" s="631" t="s">
        <v>696</v>
      </c>
      <c r="B61" s="327">
        <v>5</v>
      </c>
      <c r="C61" s="591">
        <f>Sheet17!B61-Sheet18!B61</f>
        <v>0</v>
      </c>
    </row>
    <row r="62" spans="1:3" ht="21" x14ac:dyDescent="0.5">
      <c r="A62" s="631" t="s">
        <v>258</v>
      </c>
      <c r="B62" s="327">
        <v>0.1</v>
      </c>
      <c r="C62" s="591">
        <f>Sheet17!B62-Sheet18!B62</f>
        <v>-2.5611371357037171E-10</v>
      </c>
    </row>
    <row r="63" spans="1:3" ht="21" x14ac:dyDescent="0.5">
      <c r="A63" s="631" t="s">
        <v>269</v>
      </c>
      <c r="B63" s="327">
        <v>0</v>
      </c>
      <c r="C63" s="591">
        <f>Sheet17!B63-Sheet18!B63</f>
        <v>1.999999862164259E-3</v>
      </c>
    </row>
    <row r="64" spans="1:3" ht="21" x14ac:dyDescent="0.5">
      <c r="A64" s="631" t="s">
        <v>670</v>
      </c>
      <c r="B64" s="327">
        <v>0</v>
      </c>
      <c r="C64" s="591">
        <f>Sheet17!B64-Sheet18!B64</f>
        <v>2.7939677238464355E-9</v>
      </c>
    </row>
    <row r="65" spans="1:3" ht="21" x14ac:dyDescent="0.5">
      <c r="A65" s="631" t="s">
        <v>671</v>
      </c>
      <c r="B65" s="327">
        <v>0</v>
      </c>
      <c r="C65" s="591">
        <f>Sheet17!B65-Sheet18!B65</f>
        <v>4.6566128730773926E-10</v>
      </c>
    </row>
    <row r="66" spans="1:3" ht="21" x14ac:dyDescent="0.5">
      <c r="A66" s="631" t="s">
        <v>260</v>
      </c>
      <c r="B66" s="327">
        <v>0</v>
      </c>
      <c r="C66" s="591">
        <f>Sheet17!B66-Sheet18!B66</f>
        <v>4.6566128730773926E-10</v>
      </c>
    </row>
    <row r="67" spans="1:3" ht="21" x14ac:dyDescent="0.5">
      <c r="A67" s="631" t="s">
        <v>673</v>
      </c>
      <c r="B67" s="327">
        <v>0</v>
      </c>
      <c r="C67" s="591">
        <f>Sheet17!B67-Sheet18!B67</f>
        <v>1.0913936421275139E-11</v>
      </c>
    </row>
    <row r="68" spans="1:3" ht="21" x14ac:dyDescent="0.5">
      <c r="A68" s="631" t="s">
        <v>252</v>
      </c>
      <c r="B68" s="327">
        <v>0</v>
      </c>
      <c r="C68" s="591">
        <f>Sheet17!B68-Sheet18!B68</f>
        <v>0</v>
      </c>
    </row>
    <row r="69" spans="1:3" ht="21" x14ac:dyDescent="0.5">
      <c r="A69" s="631" t="s">
        <v>678</v>
      </c>
      <c r="B69" s="327">
        <v>0</v>
      </c>
      <c r="C69" s="591">
        <f>Sheet17!B69-Sheet18!B69</f>
        <v>0</v>
      </c>
    </row>
    <row r="70" spans="1:3" ht="21" x14ac:dyDescent="0.5">
      <c r="A70" s="631" t="s">
        <v>141</v>
      </c>
      <c r="B70" s="327">
        <v>0</v>
      </c>
      <c r="C70" s="591">
        <f>Sheet17!B70-Sheet18!B70</f>
        <v>0</v>
      </c>
    </row>
    <row r="71" spans="1:3" ht="21" x14ac:dyDescent="0.5">
      <c r="A71" s="631" t="s">
        <v>272</v>
      </c>
      <c r="B71" s="327">
        <v>0</v>
      </c>
      <c r="C71" s="591">
        <f>Sheet17!B71-Sheet18!B71</f>
        <v>0</v>
      </c>
    </row>
    <row r="72" spans="1:3" ht="21" x14ac:dyDescent="0.5">
      <c r="A72" s="631" t="s">
        <v>157</v>
      </c>
      <c r="B72" s="327">
        <v>0</v>
      </c>
      <c r="C72" s="591">
        <f>Sheet17!B72-Sheet18!B72</f>
        <v>-4.5474735088646412E-13</v>
      </c>
    </row>
    <row r="73" spans="1:3" ht="21" x14ac:dyDescent="0.5">
      <c r="A73" s="632" t="s">
        <v>687</v>
      </c>
      <c r="B73" s="327">
        <v>0</v>
      </c>
      <c r="C73" s="591">
        <f>Sheet17!B73-Sheet18!B73</f>
        <v>-7.2759576141834259E-12</v>
      </c>
    </row>
    <row r="74" spans="1:3" ht="21" x14ac:dyDescent="0.5">
      <c r="A74" s="631" t="s">
        <v>689</v>
      </c>
      <c r="B74" s="327">
        <v>0</v>
      </c>
      <c r="C74" s="591">
        <f>Sheet17!B74-Sheet18!B74</f>
        <v>-1.4551915228366852E-11</v>
      </c>
    </row>
    <row r="75" spans="1:3" ht="21" x14ac:dyDescent="0.5">
      <c r="A75" s="631" t="s">
        <v>690</v>
      </c>
      <c r="B75" s="327">
        <v>0</v>
      </c>
      <c r="C75" s="591">
        <f>Sheet17!B75-Sheet18!B75</f>
        <v>-2.1827872842550278E-11</v>
      </c>
    </row>
    <row r="76" spans="1:3" ht="21" x14ac:dyDescent="0.5">
      <c r="A76" s="631" t="s">
        <v>133</v>
      </c>
      <c r="B76" s="327">
        <v>0</v>
      </c>
      <c r="C76" s="591">
        <f>Sheet17!B76-Sheet18!B76</f>
        <v>-2.9103830456733704E-11</v>
      </c>
    </row>
    <row r="77" spans="1:3" ht="21" x14ac:dyDescent="0.5">
      <c r="A77" s="631" t="s">
        <v>136</v>
      </c>
      <c r="B77" s="327">
        <v>0</v>
      </c>
      <c r="C77" s="591">
        <f>Sheet17!B77-Sheet18!B77</f>
        <v>-2.9103830456733704E-11</v>
      </c>
    </row>
    <row r="78" spans="1:3" ht="21" x14ac:dyDescent="0.5">
      <c r="A78" s="631" t="s">
        <v>694</v>
      </c>
      <c r="B78" s="327">
        <v>0</v>
      </c>
      <c r="C78" s="591">
        <f>Sheet17!B78-Sheet18!B78</f>
        <v>-2.5611370801925659E-9</v>
      </c>
    </row>
    <row r="79" spans="1:3" ht="21" x14ac:dyDescent="0.5">
      <c r="A79" s="631" t="s">
        <v>698</v>
      </c>
      <c r="B79" s="327">
        <v>0</v>
      </c>
      <c r="C79" s="591">
        <f>Sheet17!B79-Sheet18!B79</f>
        <v>-9.9999841768294573E-4</v>
      </c>
    </row>
    <row r="80" spans="1:3" ht="21" x14ac:dyDescent="0.5">
      <c r="A80" s="631" t="s">
        <v>223</v>
      </c>
      <c r="B80" s="327">
        <v>-8.0000000074505806E-2</v>
      </c>
      <c r="C80" s="591">
        <f>Sheet17!B80-Sheet18!B80</f>
        <v>1.2107193470001221E-8</v>
      </c>
    </row>
    <row r="81" spans="1:3" ht="21" x14ac:dyDescent="0.5">
      <c r="A81" s="631" t="s">
        <v>236</v>
      </c>
      <c r="B81" s="327">
        <v>-0.11</v>
      </c>
      <c r="C81" s="591">
        <f>Sheet17!B81-Sheet18!B81</f>
        <v>1.061707735616757E-9</v>
      </c>
    </row>
    <row r="82" spans="1:3" ht="21" x14ac:dyDescent="0.5">
      <c r="A82" s="631" t="s">
        <v>682</v>
      </c>
      <c r="B82" s="327">
        <v>-2</v>
      </c>
      <c r="C82" s="591">
        <f>Sheet17!B82-Sheet18!B82</f>
        <v>-9.6042640507221222E-10</v>
      </c>
    </row>
    <row r="83" spans="1:3" ht="21" x14ac:dyDescent="0.5">
      <c r="A83" s="631" t="s">
        <v>699</v>
      </c>
      <c r="B83" s="327">
        <v>-36.199999999953434</v>
      </c>
      <c r="C83" s="591">
        <f>Sheet17!B83-Sheet18!B83</f>
        <v>1.1641532182693481E-10</v>
      </c>
    </row>
    <row r="84" spans="1:3" ht="21" x14ac:dyDescent="0.5">
      <c r="A84" s="631" t="s">
        <v>289</v>
      </c>
      <c r="B84" s="327">
        <v>-501.41</v>
      </c>
      <c r="C84" s="591">
        <f>Sheet17!B84-Sheet18!B84</f>
        <v>3.1667468647356145E-10</v>
      </c>
    </row>
    <row r="85" spans="1:3" ht="21" x14ac:dyDescent="0.5">
      <c r="A85" s="631" t="s">
        <v>273</v>
      </c>
      <c r="B85" s="327">
        <v>-2184.6839999999829</v>
      </c>
      <c r="C85" s="591">
        <f>Sheet17!B85-Sheet18!B85</f>
        <v>0</v>
      </c>
    </row>
    <row r="86" spans="1:3" ht="21" x14ac:dyDescent="0.5">
      <c r="A86" s="631" t="s">
        <v>283</v>
      </c>
      <c r="B86" s="327">
        <v>-2348.9</v>
      </c>
      <c r="C86" s="591">
        <f>Sheet17!B86-Sheet18!B86</f>
        <v>5.588844942394644E-10</v>
      </c>
    </row>
    <row r="87" spans="1:3" ht="21" x14ac:dyDescent="0.5">
      <c r="A87" s="631" t="s">
        <v>700</v>
      </c>
      <c r="B87" s="327">
        <v>-2858.9200000000346</v>
      </c>
      <c r="C87" s="591">
        <f>Sheet17!B87-Sheet18!B87</f>
        <v>-5.8207660913467407E-11</v>
      </c>
    </row>
    <row r="88" spans="1:3" ht="21" x14ac:dyDescent="0.5">
      <c r="A88" s="631" t="s">
        <v>281</v>
      </c>
      <c r="B88" s="327">
        <v>-4655.5600000000004</v>
      </c>
      <c r="C88" s="591">
        <f>Sheet17!B88-Sheet18!B88</f>
        <v>-5.5479176808148623E-11</v>
      </c>
    </row>
    <row r="89" spans="1:3" ht="21" x14ac:dyDescent="0.5">
      <c r="A89" s="631" t="s">
        <v>244</v>
      </c>
      <c r="B89" s="327">
        <v>-4925.8500000000004</v>
      </c>
      <c r="C89" s="591">
        <f>Sheet17!B89-Sheet18!B89</f>
        <v>4.8930814955383539E-10</v>
      </c>
    </row>
    <row r="90" spans="1:3" ht="21" x14ac:dyDescent="0.5">
      <c r="A90" s="631" t="s">
        <v>253</v>
      </c>
      <c r="B90" s="327">
        <v>-5959.03</v>
      </c>
      <c r="C90" s="591">
        <f>Sheet17!B90-Sheet18!B90</f>
        <v>3.7925929063931108E-10</v>
      </c>
    </row>
    <row r="91" spans="1:3" ht="21" x14ac:dyDescent="0.5">
      <c r="A91" s="631" t="s">
        <v>291</v>
      </c>
      <c r="B91" s="327">
        <v>-6676.28</v>
      </c>
      <c r="C91" s="591">
        <f>Sheet17!B91-Sheet18!B91</f>
        <v>1.1641532182693481E-10</v>
      </c>
    </row>
    <row r="92" spans="1:3" ht="21" x14ac:dyDescent="0.5">
      <c r="A92" s="631" t="s">
        <v>672</v>
      </c>
      <c r="B92" s="327">
        <v>-7987.0000000004657</v>
      </c>
      <c r="C92" s="591">
        <f>Sheet17!B92-Sheet18!B92</f>
        <v>-1.6298145055770874E-9</v>
      </c>
    </row>
    <row r="93" spans="1:3" ht="21" x14ac:dyDescent="0.5">
      <c r="A93" s="631" t="s">
        <v>676</v>
      </c>
      <c r="B93" s="327">
        <v>-13495.099999999991</v>
      </c>
      <c r="C93" s="591">
        <f>Sheet17!B93-Sheet18!B93</f>
        <v>-1.1641532182693481E-10</v>
      </c>
    </row>
    <row r="94" spans="1:3" ht="21" x14ac:dyDescent="0.5">
      <c r="A94" s="631" t="s">
        <v>102</v>
      </c>
      <c r="B94" s="327">
        <v>-21803.759999999998</v>
      </c>
      <c r="C94" s="591">
        <f>Sheet17!B94-Sheet18!B94</f>
        <v>0</v>
      </c>
    </row>
    <row r="95" spans="1:3" ht="21" x14ac:dyDescent="0.5">
      <c r="A95" s="631" t="s">
        <v>122</v>
      </c>
      <c r="B95" s="327">
        <v>-29297.360000000001</v>
      </c>
      <c r="C95" s="591">
        <f>Sheet17!B95-Sheet18!B95</f>
        <v>0</v>
      </c>
    </row>
    <row r="96" spans="1:3" ht="21" x14ac:dyDescent="0.5">
      <c r="A96" s="631" t="s">
        <v>132</v>
      </c>
      <c r="B96" s="327">
        <v>-35689.800000000003</v>
      </c>
      <c r="C96" s="591">
        <f>Sheet17!B96-Sheet18!B96</f>
        <v>0</v>
      </c>
    </row>
    <row r="97" spans="1:3" ht="21" x14ac:dyDescent="0.5">
      <c r="A97" s="631" t="s">
        <v>107</v>
      </c>
      <c r="B97" s="327">
        <v>-39944.120000000003</v>
      </c>
      <c r="C97" s="591">
        <f>Sheet17!B97-Sheet18!B97</f>
        <v>0</v>
      </c>
    </row>
    <row r="98" spans="1:3" ht="21" x14ac:dyDescent="0.5">
      <c r="A98" s="634" t="s">
        <v>221</v>
      </c>
      <c r="B98" s="327">
        <v>-113497.32</v>
      </c>
      <c r="C98" s="591">
        <f>Sheet17!B98-Sheet18!B98</f>
        <v>1.0739313438534737E-8</v>
      </c>
    </row>
    <row r="99" spans="1:3" ht="21" x14ac:dyDescent="0.5">
      <c r="A99" s="634" t="s">
        <v>249</v>
      </c>
      <c r="B99" s="327">
        <v>-115236.29</v>
      </c>
      <c r="C99" s="591">
        <f>Sheet17!B99-Sheet18!B99</f>
        <v>0</v>
      </c>
    </row>
    <row r="100" spans="1:3" ht="21" x14ac:dyDescent="0.5">
      <c r="A100" s="634" t="s">
        <v>701</v>
      </c>
      <c r="B100" s="327">
        <v>-135954.03</v>
      </c>
      <c r="C100" s="591">
        <f>Sheet17!B100-Sheet18!B100</f>
        <v>0</v>
      </c>
    </row>
    <row r="101" spans="1:3" ht="21" x14ac:dyDescent="0.5">
      <c r="A101" s="634" t="s">
        <v>702</v>
      </c>
      <c r="B101" s="327">
        <v>-207956.99</v>
      </c>
      <c r="C101" s="591">
        <f>Sheet17!B101-Sheet18!B101</f>
        <v>0</v>
      </c>
    </row>
    <row r="102" spans="1:3" ht="21" x14ac:dyDescent="0.5">
      <c r="A102" s="873" t="s">
        <v>245</v>
      </c>
      <c r="B102" s="327">
        <v>-221089.2</v>
      </c>
      <c r="C102" s="591">
        <f>Sheet17!B102-Sheet18!B102</f>
        <v>0</v>
      </c>
    </row>
    <row r="103" spans="1:3" ht="21" x14ac:dyDescent="0.5">
      <c r="A103" s="634" t="s">
        <v>282</v>
      </c>
      <c r="B103" s="327">
        <v>-265954.98</v>
      </c>
      <c r="C103" s="591">
        <f>Sheet17!B103-Sheet18!B103</f>
        <v>0</v>
      </c>
    </row>
    <row r="104" spans="1:3" ht="21" x14ac:dyDescent="0.5">
      <c r="A104" s="631" t="s">
        <v>268</v>
      </c>
      <c r="B104" s="327">
        <v>-296083.71599999687</v>
      </c>
      <c r="C104" s="591">
        <f>Sheet17!B104-Sheet18!B104</f>
        <v>0</v>
      </c>
    </row>
    <row r="105" spans="1:3" ht="21" x14ac:dyDescent="0.5">
      <c r="A105" s="634" t="s">
        <v>266</v>
      </c>
      <c r="B105" s="327">
        <v>-433922.12999999058</v>
      </c>
      <c r="C105" s="591">
        <f>Sheet17!B105-Sheet18!B105</f>
        <v>0</v>
      </c>
    </row>
    <row r="106" spans="1:3" ht="21" x14ac:dyDescent="0.5">
      <c r="A106" s="634" t="s">
        <v>703</v>
      </c>
      <c r="B106" s="327">
        <v>-1120862.76</v>
      </c>
      <c r="C106" s="591">
        <f>Sheet17!B106-Sheet18!B106</f>
        <v>0</v>
      </c>
    </row>
  </sheetData>
  <sortState xmlns:xlrd2="http://schemas.microsoft.com/office/spreadsheetml/2017/richdata2" ref="A1:B106">
    <sortCondition descending="1" ref="B1:B106"/>
  </sortState>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70C6-0365-4CF0-A307-A85799B553E9}">
  <dimension ref="A1:B106"/>
  <sheetViews>
    <sheetView workbookViewId="0">
      <selection activeCell="D13" sqref="D13"/>
    </sheetView>
  </sheetViews>
  <sheetFormatPr defaultRowHeight="14.5" x14ac:dyDescent="0.35"/>
  <cols>
    <col min="1" max="1" width="88.453125" customWidth="1"/>
    <col min="2" max="2" width="31.90625" customWidth="1"/>
  </cols>
  <sheetData>
    <row r="1" spans="1:2" ht="21" x14ac:dyDescent="0.5">
      <c r="A1" s="631"/>
      <c r="B1" s="721"/>
    </row>
    <row r="2" spans="1:2" ht="21" x14ac:dyDescent="0.5">
      <c r="A2" s="631"/>
      <c r="B2" s="721"/>
    </row>
    <row r="3" spans="1:2" ht="21" x14ac:dyDescent="0.5">
      <c r="A3" s="631"/>
      <c r="B3" s="721"/>
    </row>
    <row r="4" spans="1:2" ht="21" x14ac:dyDescent="0.5">
      <c r="A4" s="631"/>
      <c r="B4" s="721"/>
    </row>
    <row r="5" spans="1:2" ht="21" x14ac:dyDescent="0.5">
      <c r="A5" s="631"/>
      <c r="B5" s="721"/>
    </row>
    <row r="6" spans="1:2" ht="21" x14ac:dyDescent="0.5">
      <c r="A6" s="631"/>
      <c r="B6" s="723"/>
    </row>
    <row r="7" spans="1:2" ht="21" x14ac:dyDescent="0.5">
      <c r="A7" s="631"/>
      <c r="B7" s="721"/>
    </row>
    <row r="8" spans="1:2" ht="21" x14ac:dyDescent="0.5">
      <c r="A8" s="631"/>
      <c r="B8" s="721"/>
    </row>
    <row r="9" spans="1:2" ht="21" x14ac:dyDescent="0.5">
      <c r="A9" s="631"/>
      <c r="B9" s="721"/>
    </row>
    <row r="10" spans="1:2" ht="21" x14ac:dyDescent="0.5">
      <c r="A10" s="631"/>
      <c r="B10" s="721"/>
    </row>
    <row r="11" spans="1:2" ht="21" x14ac:dyDescent="0.5">
      <c r="A11" s="631"/>
      <c r="B11" s="721"/>
    </row>
    <row r="12" spans="1:2" ht="21" x14ac:dyDescent="0.5">
      <c r="A12" s="631"/>
      <c r="B12" s="721"/>
    </row>
    <row r="13" spans="1:2" ht="21" x14ac:dyDescent="0.5">
      <c r="A13" s="631"/>
      <c r="B13" s="721"/>
    </row>
    <row r="14" spans="1:2" ht="21" x14ac:dyDescent="0.5">
      <c r="A14" s="631"/>
      <c r="B14" s="721"/>
    </row>
    <row r="15" spans="1:2" ht="21" x14ac:dyDescent="0.5">
      <c r="A15" s="631"/>
      <c r="B15" s="721"/>
    </row>
    <row r="16" spans="1:2" ht="21" x14ac:dyDescent="0.5">
      <c r="A16" s="631"/>
      <c r="B16" s="721"/>
    </row>
    <row r="17" spans="1:2" ht="21" x14ac:dyDescent="0.5">
      <c r="A17" s="631"/>
      <c r="B17" s="721"/>
    </row>
    <row r="18" spans="1:2" ht="21" x14ac:dyDescent="0.5">
      <c r="A18" s="631"/>
      <c r="B18" s="721"/>
    </row>
    <row r="19" spans="1:2" ht="21" x14ac:dyDescent="0.5">
      <c r="A19" s="631"/>
      <c r="B19" s="722"/>
    </row>
    <row r="20" spans="1:2" ht="21" x14ac:dyDescent="0.5">
      <c r="A20" s="631"/>
      <c r="B20" s="721"/>
    </row>
    <row r="21" spans="1:2" ht="21" x14ac:dyDescent="0.5">
      <c r="A21" s="631"/>
      <c r="B21" s="723"/>
    </row>
    <row r="22" spans="1:2" ht="21" x14ac:dyDescent="0.5">
      <c r="A22" s="631"/>
      <c r="B22" s="721"/>
    </row>
    <row r="23" spans="1:2" ht="21" x14ac:dyDescent="0.5">
      <c r="A23" s="631"/>
      <c r="B23" s="723"/>
    </row>
    <row r="24" spans="1:2" ht="21" x14ac:dyDescent="0.5">
      <c r="A24" s="631"/>
      <c r="B24" s="723"/>
    </row>
    <row r="25" spans="1:2" ht="21" x14ac:dyDescent="0.5">
      <c r="A25" s="631"/>
      <c r="B25" s="723"/>
    </row>
    <row r="26" spans="1:2" ht="21" x14ac:dyDescent="0.5">
      <c r="A26" s="631"/>
      <c r="B26" s="723"/>
    </row>
    <row r="27" spans="1:2" ht="21" x14ac:dyDescent="0.5">
      <c r="A27" s="631"/>
      <c r="B27" s="723"/>
    </row>
    <row r="28" spans="1:2" ht="21" x14ac:dyDescent="0.5">
      <c r="A28" s="631"/>
      <c r="B28" s="723"/>
    </row>
    <row r="29" spans="1:2" ht="21" x14ac:dyDescent="0.5">
      <c r="A29" s="631"/>
      <c r="B29" s="723"/>
    </row>
    <row r="30" spans="1:2" ht="21" x14ac:dyDescent="0.5">
      <c r="A30" s="631"/>
      <c r="B30" s="723"/>
    </row>
    <row r="31" spans="1:2" ht="21" x14ac:dyDescent="0.5">
      <c r="A31" s="631"/>
      <c r="B31" s="723"/>
    </row>
    <row r="32" spans="1:2" ht="21" x14ac:dyDescent="0.5">
      <c r="A32" s="631"/>
      <c r="B32" s="723"/>
    </row>
    <row r="33" spans="1:2" ht="21" x14ac:dyDescent="0.5">
      <c r="A33" s="631"/>
      <c r="B33" s="723"/>
    </row>
    <row r="34" spans="1:2" ht="21" x14ac:dyDescent="0.5">
      <c r="A34" s="631"/>
      <c r="B34" s="723"/>
    </row>
    <row r="35" spans="1:2" ht="21" x14ac:dyDescent="0.5">
      <c r="A35" s="631"/>
      <c r="B35" s="723"/>
    </row>
    <row r="36" spans="1:2" ht="21" x14ac:dyDescent="0.5">
      <c r="A36" s="631"/>
      <c r="B36" s="723"/>
    </row>
    <row r="37" spans="1:2" ht="21" x14ac:dyDescent="0.5">
      <c r="A37" s="631"/>
      <c r="B37" s="723"/>
    </row>
    <row r="38" spans="1:2" ht="21" x14ac:dyDescent="0.5">
      <c r="A38" s="631"/>
      <c r="B38" s="723"/>
    </row>
    <row r="39" spans="1:2" ht="21" x14ac:dyDescent="0.5">
      <c r="A39" s="647"/>
      <c r="B39" s="723"/>
    </row>
    <row r="40" spans="1:2" ht="21" x14ac:dyDescent="0.5">
      <c r="A40" s="631"/>
      <c r="B40" s="723"/>
    </row>
    <row r="41" spans="1:2" ht="21" x14ac:dyDescent="0.5">
      <c r="A41" s="646"/>
      <c r="B41" s="723"/>
    </row>
    <row r="42" spans="1:2" ht="21" x14ac:dyDescent="0.5">
      <c r="A42" s="631"/>
      <c r="B42" s="723"/>
    </row>
    <row r="43" spans="1:2" ht="21" x14ac:dyDescent="0.5">
      <c r="A43" s="631"/>
      <c r="B43" s="723"/>
    </row>
    <row r="44" spans="1:2" ht="21" x14ac:dyDescent="0.5">
      <c r="A44" s="631"/>
      <c r="B44" s="723"/>
    </row>
    <row r="45" spans="1:2" ht="21" x14ac:dyDescent="0.5">
      <c r="A45" s="631"/>
      <c r="B45" s="723"/>
    </row>
    <row r="46" spans="1:2" ht="21" x14ac:dyDescent="0.5">
      <c r="A46" s="631"/>
      <c r="B46" s="723"/>
    </row>
    <row r="47" spans="1:2" ht="21" x14ac:dyDescent="0.5">
      <c r="A47" s="631"/>
      <c r="B47" s="723"/>
    </row>
    <row r="48" spans="1:2" ht="21" x14ac:dyDescent="0.5">
      <c r="A48" s="631"/>
      <c r="B48" s="723"/>
    </row>
    <row r="49" spans="1:2" ht="21" x14ac:dyDescent="0.5">
      <c r="A49" s="631"/>
      <c r="B49" s="723"/>
    </row>
    <row r="50" spans="1:2" ht="21" x14ac:dyDescent="0.5">
      <c r="A50" s="631"/>
      <c r="B50" s="723"/>
    </row>
    <row r="51" spans="1:2" ht="21" x14ac:dyDescent="0.5">
      <c r="A51" s="631"/>
      <c r="B51" s="723"/>
    </row>
    <row r="52" spans="1:2" ht="21" x14ac:dyDescent="0.5">
      <c r="A52" s="631"/>
      <c r="B52" s="723"/>
    </row>
    <row r="53" spans="1:2" ht="21" x14ac:dyDescent="0.5">
      <c r="A53" s="632"/>
      <c r="B53" s="723"/>
    </row>
    <row r="54" spans="1:2" ht="21" x14ac:dyDescent="0.5">
      <c r="A54" s="631"/>
      <c r="B54" s="723"/>
    </row>
    <row r="55" spans="1:2" ht="21" x14ac:dyDescent="0.5">
      <c r="A55" s="631"/>
      <c r="B55" s="723"/>
    </row>
    <row r="56" spans="1:2" ht="21" x14ac:dyDescent="0.5">
      <c r="A56" s="631"/>
      <c r="B56" s="723"/>
    </row>
    <row r="57" spans="1:2" ht="21" x14ac:dyDescent="0.5">
      <c r="A57" s="631"/>
      <c r="B57" s="723"/>
    </row>
    <row r="58" spans="1:2" ht="21" x14ac:dyDescent="0.5">
      <c r="A58" s="631"/>
      <c r="B58" s="723"/>
    </row>
    <row r="59" spans="1:2" ht="21" x14ac:dyDescent="0.5">
      <c r="A59" s="631"/>
      <c r="B59" s="723"/>
    </row>
    <row r="60" spans="1:2" ht="21" x14ac:dyDescent="0.5">
      <c r="A60" s="631"/>
      <c r="B60" s="723"/>
    </row>
    <row r="61" spans="1:2" ht="21" x14ac:dyDescent="0.5">
      <c r="A61" s="631"/>
      <c r="B61" s="723"/>
    </row>
    <row r="62" spans="1:2" ht="21" x14ac:dyDescent="0.5">
      <c r="A62" s="631"/>
      <c r="B62" s="723"/>
    </row>
    <row r="63" spans="1:2" ht="21" x14ac:dyDescent="0.5">
      <c r="A63" s="633"/>
      <c r="B63" s="723"/>
    </row>
    <row r="64" spans="1:2" ht="21" x14ac:dyDescent="0.5">
      <c r="A64" s="633"/>
      <c r="B64" s="723"/>
    </row>
    <row r="65" spans="1:2" ht="21" x14ac:dyDescent="0.5">
      <c r="A65" s="632"/>
      <c r="B65" s="723"/>
    </row>
    <row r="66" spans="1:2" ht="21" x14ac:dyDescent="0.5">
      <c r="A66" s="631"/>
      <c r="B66" s="723"/>
    </row>
    <row r="67" spans="1:2" ht="21" x14ac:dyDescent="0.5">
      <c r="A67" s="631"/>
      <c r="B67" s="723"/>
    </row>
    <row r="68" spans="1:2" ht="21" x14ac:dyDescent="0.5">
      <c r="A68" s="631"/>
      <c r="B68" s="723"/>
    </row>
    <row r="69" spans="1:2" ht="21" x14ac:dyDescent="0.5">
      <c r="A69" s="631"/>
      <c r="B69" s="723"/>
    </row>
    <row r="70" spans="1:2" ht="21" x14ac:dyDescent="0.5">
      <c r="A70" s="631"/>
      <c r="B70" s="723"/>
    </row>
    <row r="71" spans="1:2" ht="21" x14ac:dyDescent="0.5">
      <c r="A71" s="632"/>
      <c r="B71" s="723"/>
    </row>
    <row r="72" spans="1:2" ht="21" x14ac:dyDescent="0.5">
      <c r="A72" s="633"/>
      <c r="B72" s="723"/>
    </row>
    <row r="73" spans="1:2" ht="21" x14ac:dyDescent="0.5">
      <c r="A73" s="631"/>
      <c r="B73" s="723"/>
    </row>
    <row r="74" spans="1:2" ht="21" x14ac:dyDescent="0.5">
      <c r="A74" s="633"/>
      <c r="B74" s="723"/>
    </row>
    <row r="75" spans="1:2" ht="21" x14ac:dyDescent="0.5">
      <c r="A75" s="631"/>
      <c r="B75" s="723"/>
    </row>
    <row r="76" spans="1:2" ht="21" x14ac:dyDescent="0.5">
      <c r="A76" s="631"/>
      <c r="B76" s="723"/>
    </row>
    <row r="77" spans="1:2" ht="21" x14ac:dyDescent="0.5">
      <c r="A77" s="631"/>
      <c r="B77" s="723"/>
    </row>
    <row r="78" spans="1:2" ht="21" x14ac:dyDescent="0.5">
      <c r="A78" s="631"/>
      <c r="B78" s="723"/>
    </row>
    <row r="79" spans="1:2" ht="21" x14ac:dyDescent="0.5">
      <c r="A79" s="631"/>
      <c r="B79" s="723"/>
    </row>
    <row r="80" spans="1:2" ht="21" x14ac:dyDescent="0.5">
      <c r="A80" s="631"/>
      <c r="B80" s="723"/>
    </row>
    <row r="81" spans="1:2" ht="21" x14ac:dyDescent="0.5">
      <c r="A81" s="631"/>
      <c r="B81" s="723"/>
    </row>
    <row r="82" spans="1:2" ht="21" x14ac:dyDescent="0.5">
      <c r="A82" s="631"/>
      <c r="B82" s="723"/>
    </row>
    <row r="83" spans="1:2" ht="21" x14ac:dyDescent="0.5">
      <c r="A83" s="631"/>
      <c r="B83" s="721"/>
    </row>
    <row r="84" spans="1:2" ht="21" x14ac:dyDescent="0.5">
      <c r="A84" s="631"/>
      <c r="B84" s="721"/>
    </row>
    <row r="85" spans="1:2" ht="21" x14ac:dyDescent="0.5">
      <c r="A85" s="631"/>
      <c r="B85" s="721"/>
    </row>
    <row r="86" spans="1:2" ht="21" x14ac:dyDescent="0.5">
      <c r="A86" s="631"/>
      <c r="B86" s="721"/>
    </row>
    <row r="87" spans="1:2" ht="21" x14ac:dyDescent="0.5">
      <c r="A87" s="631"/>
      <c r="B87" s="721"/>
    </row>
    <row r="88" spans="1:2" ht="21" x14ac:dyDescent="0.5">
      <c r="A88" s="631"/>
      <c r="B88" s="721"/>
    </row>
    <row r="89" spans="1:2" ht="21" x14ac:dyDescent="0.5">
      <c r="A89" s="631"/>
      <c r="B89" s="721"/>
    </row>
    <row r="90" spans="1:2" ht="21" x14ac:dyDescent="0.5">
      <c r="A90" s="631"/>
      <c r="B90" s="721"/>
    </row>
    <row r="91" spans="1:2" ht="21" x14ac:dyDescent="0.5">
      <c r="A91" s="631"/>
      <c r="B91" s="721"/>
    </row>
    <row r="92" spans="1:2" ht="21" x14ac:dyDescent="0.5">
      <c r="A92" s="631"/>
      <c r="B92" s="721"/>
    </row>
    <row r="93" spans="1:2" ht="21" x14ac:dyDescent="0.5">
      <c r="A93" s="631"/>
      <c r="B93" s="721"/>
    </row>
    <row r="94" spans="1:2" ht="21" x14ac:dyDescent="0.5">
      <c r="A94" s="631"/>
      <c r="B94" s="721"/>
    </row>
    <row r="95" spans="1:2" ht="21" x14ac:dyDescent="0.5">
      <c r="A95" s="631"/>
      <c r="B95" s="721"/>
    </row>
    <row r="96" spans="1:2" ht="21" x14ac:dyDescent="0.5">
      <c r="A96" s="631"/>
      <c r="B96" s="721"/>
    </row>
    <row r="97" spans="1:2" ht="21" x14ac:dyDescent="0.5">
      <c r="A97" s="631"/>
      <c r="B97" s="721"/>
    </row>
    <row r="98" spans="1:2" ht="21" x14ac:dyDescent="0.5">
      <c r="A98" s="634"/>
      <c r="B98" s="721"/>
    </row>
    <row r="99" spans="1:2" ht="21" x14ac:dyDescent="0.5">
      <c r="A99" s="634"/>
      <c r="B99" s="721"/>
    </row>
    <row r="100" spans="1:2" ht="21" x14ac:dyDescent="0.5">
      <c r="A100" s="634"/>
      <c r="B100" s="721"/>
    </row>
    <row r="101" spans="1:2" ht="21" x14ac:dyDescent="0.5">
      <c r="A101" s="634"/>
      <c r="B101" s="721"/>
    </row>
    <row r="102" spans="1:2" ht="21" x14ac:dyDescent="0.5">
      <c r="A102" s="634"/>
      <c r="B102" s="721"/>
    </row>
    <row r="103" spans="1:2" ht="21" x14ac:dyDescent="0.5">
      <c r="A103" s="634"/>
      <c r="B103" s="721"/>
    </row>
    <row r="104" spans="1:2" ht="21" x14ac:dyDescent="0.5">
      <c r="A104" s="635"/>
      <c r="B104" s="721"/>
    </row>
    <row r="105" spans="1:2" ht="21" x14ac:dyDescent="0.5">
      <c r="A105" s="634"/>
      <c r="B105" s="721"/>
    </row>
    <row r="106" spans="1:2" ht="21" x14ac:dyDescent="0.5">
      <c r="A106" s="634"/>
      <c r="B106" s="724"/>
    </row>
  </sheetData>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F555A-3470-4E2D-8644-FF0AE976D29B}">
  <dimension ref="A1:P65"/>
  <sheetViews>
    <sheetView workbookViewId="0">
      <selection activeCell="L25" sqref="L25"/>
    </sheetView>
  </sheetViews>
  <sheetFormatPr defaultRowHeight="14.5" x14ac:dyDescent="0.35"/>
  <cols>
    <col min="1" max="7" width="8.90625" style="682"/>
    <col min="8" max="8" width="12.36328125" style="682" customWidth="1"/>
    <col min="9" max="9" width="8.90625" style="682"/>
    <col min="10" max="10" width="13.6328125" style="682" customWidth="1"/>
    <col min="11" max="11" width="8.90625" style="682"/>
    <col min="12" max="12" width="12.6328125" style="682" customWidth="1"/>
    <col min="13" max="13" width="8.90625" style="682"/>
    <col min="14" max="14" width="19.6328125" style="682" customWidth="1"/>
    <col min="15" max="16" width="8.90625" style="682"/>
  </cols>
  <sheetData>
    <row r="1" spans="1:13" x14ac:dyDescent="0.35">
      <c r="A1" s="874" t="s">
        <v>778</v>
      </c>
      <c r="B1" s="874" t="s">
        <v>779</v>
      </c>
      <c r="C1" s="874" t="s">
        <v>780</v>
      </c>
      <c r="D1" s="874" t="s">
        <v>781</v>
      </c>
      <c r="E1" s="874" t="s">
        <v>782</v>
      </c>
      <c r="F1" s="874" t="s">
        <v>783</v>
      </c>
      <c r="G1" s="874" t="s">
        <v>784</v>
      </c>
      <c r="H1" s="874" t="s">
        <v>785</v>
      </c>
      <c r="I1" s="874" t="s">
        <v>786</v>
      </c>
      <c r="J1" s="875"/>
      <c r="K1" s="874" t="s">
        <v>787</v>
      </c>
      <c r="L1" s="874" t="s">
        <v>788</v>
      </c>
      <c r="M1" s="874" t="s">
        <v>596</v>
      </c>
    </row>
    <row r="2" spans="1:13" x14ac:dyDescent="0.35">
      <c r="A2" s="876"/>
      <c r="B2" s="682" t="s">
        <v>897</v>
      </c>
      <c r="C2" s="682" t="s">
        <v>898</v>
      </c>
      <c r="D2" s="682" t="s">
        <v>791</v>
      </c>
      <c r="E2" s="682" t="s">
        <v>792</v>
      </c>
      <c r="F2" s="877">
        <v>44593</v>
      </c>
      <c r="G2" s="682" t="s">
        <v>793</v>
      </c>
      <c r="H2" s="878">
        <v>5566886.4100000001</v>
      </c>
      <c r="I2" s="682" t="s">
        <v>606</v>
      </c>
      <c r="J2" s="879">
        <v>4200000</v>
      </c>
      <c r="K2" s="682" t="s">
        <v>899</v>
      </c>
      <c r="M2" s="682" t="s">
        <v>900</v>
      </c>
    </row>
    <row r="3" spans="1:13" x14ac:dyDescent="0.35">
      <c r="A3" s="876"/>
      <c r="B3" s="682" t="s">
        <v>897</v>
      </c>
      <c r="C3" s="682" t="s">
        <v>901</v>
      </c>
      <c r="D3" s="682" t="s">
        <v>791</v>
      </c>
      <c r="E3" s="682" t="s">
        <v>792</v>
      </c>
      <c r="F3" s="877">
        <v>44594</v>
      </c>
      <c r="G3" s="682" t="s">
        <v>793</v>
      </c>
      <c r="H3" s="878">
        <v>39238.839999999997</v>
      </c>
      <c r="I3" s="682" t="s">
        <v>606</v>
      </c>
      <c r="J3" s="879">
        <v>1200000</v>
      </c>
      <c r="K3" s="682" t="s">
        <v>899</v>
      </c>
      <c r="M3" s="682" t="s">
        <v>902</v>
      </c>
    </row>
    <row r="4" spans="1:13" x14ac:dyDescent="0.35">
      <c r="A4" s="876"/>
      <c r="B4" s="682" t="s">
        <v>897</v>
      </c>
      <c r="C4" s="682" t="s">
        <v>903</v>
      </c>
      <c r="D4" s="682" t="s">
        <v>791</v>
      </c>
      <c r="E4" s="682" t="s">
        <v>792</v>
      </c>
      <c r="F4" s="877">
        <v>44593</v>
      </c>
      <c r="G4" s="682" t="s">
        <v>793</v>
      </c>
      <c r="H4" s="878">
        <v>114990.5</v>
      </c>
      <c r="I4" s="682" t="s">
        <v>606</v>
      </c>
      <c r="J4" s="879" t="s">
        <v>554</v>
      </c>
      <c r="K4" s="682" t="s">
        <v>899</v>
      </c>
      <c r="M4" s="682" t="s">
        <v>904</v>
      </c>
    </row>
    <row r="5" spans="1:13" x14ac:dyDescent="0.35">
      <c r="A5" s="876"/>
      <c r="B5" s="682" t="s">
        <v>897</v>
      </c>
      <c r="C5" s="682" t="s">
        <v>905</v>
      </c>
      <c r="D5" s="682" t="s">
        <v>791</v>
      </c>
      <c r="E5" s="682" t="s">
        <v>792</v>
      </c>
      <c r="F5" s="877">
        <v>44593</v>
      </c>
      <c r="G5" s="682" t="s">
        <v>793</v>
      </c>
      <c r="H5" s="878">
        <v>659971.63</v>
      </c>
      <c r="I5" s="682" t="s">
        <v>606</v>
      </c>
      <c r="J5" s="879">
        <v>700000</v>
      </c>
      <c r="K5" s="682" t="s">
        <v>899</v>
      </c>
      <c r="M5" s="682" t="s">
        <v>906</v>
      </c>
    </row>
    <row r="6" spans="1:13" x14ac:dyDescent="0.35">
      <c r="A6" s="876"/>
      <c r="B6" s="682" t="s">
        <v>897</v>
      </c>
      <c r="C6" s="682" t="s">
        <v>907</v>
      </c>
      <c r="D6" s="682" t="s">
        <v>791</v>
      </c>
      <c r="E6" s="682" t="s">
        <v>792</v>
      </c>
      <c r="F6" s="877">
        <v>44594</v>
      </c>
      <c r="G6" s="682" t="s">
        <v>793</v>
      </c>
      <c r="H6" s="878">
        <v>2458594.08</v>
      </c>
      <c r="I6" s="682" t="s">
        <v>606</v>
      </c>
      <c r="J6" s="879" t="s">
        <v>554</v>
      </c>
      <c r="K6" s="682" t="s">
        <v>908</v>
      </c>
      <c r="M6" s="682" t="s">
        <v>909</v>
      </c>
    </row>
    <row r="7" spans="1:13" x14ac:dyDescent="0.35">
      <c r="A7" s="876"/>
      <c r="B7" s="682" t="s">
        <v>897</v>
      </c>
      <c r="C7" s="682" t="s">
        <v>910</v>
      </c>
      <c r="D7" s="682" t="s">
        <v>791</v>
      </c>
      <c r="E7" s="682" t="s">
        <v>792</v>
      </c>
      <c r="F7" s="877">
        <v>44594</v>
      </c>
      <c r="G7" s="682" t="s">
        <v>793</v>
      </c>
      <c r="H7" s="878">
        <v>73638.899999999994</v>
      </c>
      <c r="I7" s="682" t="s">
        <v>606</v>
      </c>
      <c r="J7" s="879">
        <v>4500000</v>
      </c>
      <c r="K7" s="682" t="s">
        <v>908</v>
      </c>
      <c r="M7" s="682" t="s">
        <v>911</v>
      </c>
    </row>
    <row r="8" spans="1:13" x14ac:dyDescent="0.35">
      <c r="A8" s="876"/>
      <c r="B8" s="682" t="s">
        <v>897</v>
      </c>
      <c r="C8" s="682" t="s">
        <v>912</v>
      </c>
      <c r="D8" s="682" t="s">
        <v>791</v>
      </c>
      <c r="E8" s="682" t="s">
        <v>792</v>
      </c>
      <c r="F8" s="877">
        <v>44594</v>
      </c>
      <c r="G8" s="682" t="s">
        <v>793</v>
      </c>
      <c r="H8" s="878">
        <v>104261</v>
      </c>
      <c r="I8" s="682" t="s">
        <v>606</v>
      </c>
      <c r="J8" s="879" t="s">
        <v>554</v>
      </c>
      <c r="K8" s="682" t="s">
        <v>908</v>
      </c>
      <c r="M8" s="682" t="s">
        <v>909</v>
      </c>
    </row>
    <row r="9" spans="1:13" x14ac:dyDescent="0.35">
      <c r="A9" s="876"/>
      <c r="B9" s="682" t="s">
        <v>897</v>
      </c>
      <c r="C9" s="682" t="s">
        <v>913</v>
      </c>
      <c r="D9" s="682" t="s">
        <v>791</v>
      </c>
      <c r="E9" s="682" t="s">
        <v>792</v>
      </c>
      <c r="F9" s="877">
        <v>44596</v>
      </c>
      <c r="G9" s="682" t="s">
        <v>793</v>
      </c>
      <c r="H9" s="878">
        <v>77057.62</v>
      </c>
      <c r="I9" s="682" t="s">
        <v>606</v>
      </c>
      <c r="J9" s="879">
        <v>1600000</v>
      </c>
      <c r="K9" s="682" t="s">
        <v>914</v>
      </c>
      <c r="M9" s="682" t="s">
        <v>915</v>
      </c>
    </row>
    <row r="10" spans="1:13" x14ac:dyDescent="0.35">
      <c r="A10" s="876"/>
      <c r="B10" s="682" t="s">
        <v>897</v>
      </c>
      <c r="C10" s="682" t="s">
        <v>916</v>
      </c>
      <c r="D10" s="682" t="s">
        <v>791</v>
      </c>
      <c r="E10" s="682" t="s">
        <v>792</v>
      </c>
      <c r="F10" s="877">
        <v>44599</v>
      </c>
      <c r="G10" s="682" t="s">
        <v>793</v>
      </c>
      <c r="H10" s="878">
        <v>12317.6</v>
      </c>
      <c r="I10" s="682" t="s">
        <v>606</v>
      </c>
      <c r="J10" s="879">
        <v>4200000</v>
      </c>
      <c r="K10" s="682" t="s">
        <v>917</v>
      </c>
      <c r="M10" s="682" t="s">
        <v>918</v>
      </c>
    </row>
    <row r="11" spans="1:13" x14ac:dyDescent="0.35">
      <c r="A11" s="876"/>
      <c r="B11" s="682" t="s">
        <v>919</v>
      </c>
      <c r="C11" s="682" t="s">
        <v>920</v>
      </c>
      <c r="D11" s="682" t="s">
        <v>791</v>
      </c>
      <c r="E11" s="682" t="s">
        <v>792</v>
      </c>
      <c r="F11" s="877">
        <v>44596</v>
      </c>
      <c r="G11" s="682" t="s">
        <v>793</v>
      </c>
      <c r="H11" s="878">
        <v>7687075.04</v>
      </c>
      <c r="I11" s="682" t="s">
        <v>606</v>
      </c>
      <c r="J11" s="879" t="s">
        <v>618</v>
      </c>
      <c r="K11" s="682" t="s">
        <v>914</v>
      </c>
      <c r="M11" s="682" t="s">
        <v>921</v>
      </c>
    </row>
    <row r="12" spans="1:13" x14ac:dyDescent="0.35">
      <c r="A12" s="876"/>
      <c r="B12" s="682" t="s">
        <v>919</v>
      </c>
      <c r="C12" s="682" t="s">
        <v>922</v>
      </c>
      <c r="D12" s="682" t="s">
        <v>791</v>
      </c>
      <c r="E12" s="682" t="s">
        <v>792</v>
      </c>
      <c r="F12" s="877">
        <v>44599</v>
      </c>
      <c r="G12" s="682" t="s">
        <v>793</v>
      </c>
      <c r="H12" s="878">
        <v>287475.74</v>
      </c>
      <c r="I12" s="682" t="s">
        <v>606</v>
      </c>
      <c r="J12" s="879">
        <v>1800000</v>
      </c>
      <c r="K12" s="682" t="s">
        <v>917</v>
      </c>
      <c r="M12" s="682" t="s">
        <v>923</v>
      </c>
    </row>
    <row r="13" spans="1:13" x14ac:dyDescent="0.35">
      <c r="A13" s="876"/>
      <c r="B13" s="682" t="s">
        <v>919</v>
      </c>
      <c r="C13" s="682" t="s">
        <v>924</v>
      </c>
      <c r="D13" s="682" t="s">
        <v>791</v>
      </c>
      <c r="E13" s="682" t="s">
        <v>792</v>
      </c>
      <c r="F13" s="877">
        <v>44599</v>
      </c>
      <c r="G13" s="682" t="s">
        <v>793</v>
      </c>
      <c r="H13" s="878">
        <v>185057.47</v>
      </c>
      <c r="I13" s="682" t="s">
        <v>606</v>
      </c>
      <c r="J13" s="879" t="s">
        <v>654</v>
      </c>
      <c r="K13" s="682" t="s">
        <v>917</v>
      </c>
      <c r="M13" s="682" t="s">
        <v>925</v>
      </c>
    </row>
    <row r="14" spans="1:13" x14ac:dyDescent="0.35">
      <c r="A14" s="876"/>
      <c r="B14" s="682" t="s">
        <v>919</v>
      </c>
      <c r="C14" s="682" t="s">
        <v>926</v>
      </c>
      <c r="D14" s="682" t="s">
        <v>791</v>
      </c>
      <c r="E14" s="682" t="s">
        <v>792</v>
      </c>
      <c r="F14" s="877">
        <v>44600</v>
      </c>
      <c r="G14" s="682" t="s">
        <v>793</v>
      </c>
      <c r="H14" s="878">
        <v>78026.27</v>
      </c>
      <c r="I14" s="682" t="s">
        <v>606</v>
      </c>
      <c r="J14" s="879">
        <v>1600000</v>
      </c>
      <c r="K14" s="682" t="s">
        <v>927</v>
      </c>
      <c r="M14" s="682" t="s">
        <v>928</v>
      </c>
    </row>
    <row r="15" spans="1:13" x14ac:dyDescent="0.35">
      <c r="A15" s="876"/>
      <c r="B15" s="682" t="s">
        <v>919</v>
      </c>
      <c r="C15" s="682" t="s">
        <v>929</v>
      </c>
      <c r="D15" s="682" t="s">
        <v>791</v>
      </c>
      <c r="E15" s="682" t="s">
        <v>792</v>
      </c>
      <c r="F15" s="877">
        <v>44603</v>
      </c>
      <c r="G15" s="682" t="s">
        <v>793</v>
      </c>
      <c r="H15" s="878">
        <v>2135976.87</v>
      </c>
      <c r="I15" s="682" t="s">
        <v>606</v>
      </c>
      <c r="J15" s="879" t="s">
        <v>637</v>
      </c>
      <c r="K15" s="682" t="s">
        <v>930</v>
      </c>
      <c r="M15" s="682" t="s">
        <v>931</v>
      </c>
    </row>
    <row r="16" spans="1:13" x14ac:dyDescent="0.35">
      <c r="A16" s="876"/>
      <c r="B16" s="682" t="s">
        <v>919</v>
      </c>
      <c r="C16" s="682" t="s">
        <v>932</v>
      </c>
      <c r="D16" s="682" t="s">
        <v>791</v>
      </c>
      <c r="E16" s="682" t="s">
        <v>792</v>
      </c>
      <c r="F16" s="877">
        <v>44603</v>
      </c>
      <c r="G16" s="682" t="s">
        <v>793</v>
      </c>
      <c r="H16" s="878">
        <v>91733.87</v>
      </c>
      <c r="I16" s="682" t="s">
        <v>606</v>
      </c>
      <c r="J16" s="879">
        <v>3400000</v>
      </c>
      <c r="K16" s="682" t="s">
        <v>930</v>
      </c>
      <c r="M16" s="682" t="s">
        <v>933</v>
      </c>
    </row>
    <row r="17" spans="1:13" x14ac:dyDescent="0.35">
      <c r="A17" s="876"/>
      <c r="B17" s="682" t="s">
        <v>919</v>
      </c>
      <c r="C17" s="682" t="s">
        <v>934</v>
      </c>
      <c r="D17" s="682" t="s">
        <v>791</v>
      </c>
      <c r="E17" s="682" t="s">
        <v>792</v>
      </c>
      <c r="F17" s="877">
        <v>44603</v>
      </c>
      <c r="G17" s="682" t="s">
        <v>793</v>
      </c>
      <c r="H17" s="878">
        <v>124954.91</v>
      </c>
      <c r="I17" s="682" t="s">
        <v>606</v>
      </c>
      <c r="J17" s="879">
        <v>3400000</v>
      </c>
      <c r="K17" s="682" t="s">
        <v>930</v>
      </c>
      <c r="M17" s="682" t="s">
        <v>933</v>
      </c>
    </row>
    <row r="18" spans="1:13" x14ac:dyDescent="0.35">
      <c r="A18" s="876"/>
      <c r="B18" s="682" t="s">
        <v>919</v>
      </c>
      <c r="C18" s="682" t="s">
        <v>935</v>
      </c>
      <c r="D18" s="682" t="s">
        <v>791</v>
      </c>
      <c r="E18" s="682" t="s">
        <v>792</v>
      </c>
      <c r="F18" s="877">
        <v>44603</v>
      </c>
      <c r="G18" s="682" t="s">
        <v>793</v>
      </c>
      <c r="H18" s="878">
        <v>434634.79</v>
      </c>
      <c r="I18" s="682" t="s">
        <v>606</v>
      </c>
      <c r="J18" s="879">
        <v>4500000</v>
      </c>
      <c r="K18" s="682" t="s">
        <v>930</v>
      </c>
      <c r="M18" s="682" t="s">
        <v>936</v>
      </c>
    </row>
    <row r="19" spans="1:13" x14ac:dyDescent="0.35">
      <c r="A19" s="876"/>
      <c r="B19" s="682" t="s">
        <v>919</v>
      </c>
      <c r="C19" s="682" t="s">
        <v>937</v>
      </c>
      <c r="D19" s="682" t="s">
        <v>791</v>
      </c>
      <c r="E19" s="682" t="s">
        <v>792</v>
      </c>
      <c r="F19" s="877">
        <v>44606</v>
      </c>
      <c r="G19" s="682" t="s">
        <v>793</v>
      </c>
      <c r="H19" s="878">
        <v>1573979.79</v>
      </c>
      <c r="I19" s="682" t="s">
        <v>606</v>
      </c>
      <c r="J19" s="879" t="s">
        <v>541</v>
      </c>
      <c r="K19" s="682" t="s">
        <v>938</v>
      </c>
      <c r="M19" s="682" t="s">
        <v>939</v>
      </c>
    </row>
    <row r="20" spans="1:13" x14ac:dyDescent="0.35">
      <c r="A20" s="876"/>
      <c r="B20" s="682" t="s">
        <v>919</v>
      </c>
      <c r="C20" s="682" t="s">
        <v>940</v>
      </c>
      <c r="D20" s="682" t="s">
        <v>791</v>
      </c>
      <c r="E20" s="682" t="s">
        <v>792</v>
      </c>
      <c r="F20" s="877">
        <v>44606</v>
      </c>
      <c r="G20" s="682" t="s">
        <v>793</v>
      </c>
      <c r="H20" s="878">
        <v>232742.22</v>
      </c>
      <c r="I20" s="682" t="s">
        <v>606</v>
      </c>
      <c r="J20" s="879">
        <v>4500000</v>
      </c>
      <c r="K20" s="682" t="s">
        <v>938</v>
      </c>
      <c r="M20" s="682" t="s">
        <v>941</v>
      </c>
    </row>
    <row r="21" spans="1:13" x14ac:dyDescent="0.35">
      <c r="A21" s="876"/>
      <c r="B21" s="682" t="s">
        <v>919</v>
      </c>
      <c r="C21" s="682" t="s">
        <v>942</v>
      </c>
      <c r="D21" s="682" t="s">
        <v>791</v>
      </c>
      <c r="E21" s="682" t="s">
        <v>792</v>
      </c>
      <c r="F21" s="877">
        <v>44606</v>
      </c>
      <c r="G21" s="682" t="s">
        <v>793</v>
      </c>
      <c r="H21" s="878">
        <v>1549770.08</v>
      </c>
      <c r="I21" s="682" t="s">
        <v>606</v>
      </c>
      <c r="J21" s="879" t="s">
        <v>561</v>
      </c>
      <c r="K21" s="682" t="s">
        <v>938</v>
      </c>
      <c r="M21" s="682" t="s">
        <v>943</v>
      </c>
    </row>
    <row r="22" spans="1:13" x14ac:dyDescent="0.35">
      <c r="A22" s="876"/>
      <c r="B22" s="682" t="s">
        <v>919</v>
      </c>
      <c r="C22" s="682" t="s">
        <v>944</v>
      </c>
      <c r="D22" s="682" t="s">
        <v>791</v>
      </c>
      <c r="E22" s="682" t="s">
        <v>792</v>
      </c>
      <c r="F22" s="877">
        <v>44607</v>
      </c>
      <c r="G22" s="682" t="s">
        <v>793</v>
      </c>
      <c r="H22" s="878">
        <v>1151995.6499999999</v>
      </c>
      <c r="I22" s="682" t="s">
        <v>606</v>
      </c>
      <c r="J22" s="879">
        <v>4500000</v>
      </c>
      <c r="K22" s="682" t="s">
        <v>945</v>
      </c>
      <c r="M22" s="682" t="s">
        <v>946</v>
      </c>
    </row>
    <row r="23" spans="1:13" x14ac:dyDescent="0.35">
      <c r="A23" s="876"/>
      <c r="B23" s="682" t="s">
        <v>919</v>
      </c>
      <c r="C23" s="682" t="s">
        <v>947</v>
      </c>
      <c r="D23" s="682" t="s">
        <v>791</v>
      </c>
      <c r="E23" s="682" t="s">
        <v>792</v>
      </c>
      <c r="F23" s="877">
        <v>44607</v>
      </c>
      <c r="G23" s="682" t="s">
        <v>793</v>
      </c>
      <c r="H23" s="878">
        <v>262835.82</v>
      </c>
      <c r="I23" s="682" t="s">
        <v>606</v>
      </c>
      <c r="J23" s="879">
        <v>2300000</v>
      </c>
      <c r="K23" s="682" t="s">
        <v>945</v>
      </c>
      <c r="M23" s="682" t="s">
        <v>948</v>
      </c>
    </row>
    <row r="24" spans="1:13" x14ac:dyDescent="0.35">
      <c r="A24" s="876"/>
      <c r="B24" s="682" t="s">
        <v>919</v>
      </c>
      <c r="C24" s="682" t="s">
        <v>949</v>
      </c>
      <c r="D24" s="682" t="s">
        <v>791</v>
      </c>
      <c r="E24" s="682" t="s">
        <v>792</v>
      </c>
      <c r="F24" s="877">
        <v>44607</v>
      </c>
      <c r="G24" s="682" t="s">
        <v>793</v>
      </c>
      <c r="H24" s="880">
        <v>316908.69</v>
      </c>
      <c r="I24" s="538" t="s">
        <v>606</v>
      </c>
      <c r="J24" s="881" t="s">
        <v>1039</v>
      </c>
      <c r="K24" s="682" t="s">
        <v>945</v>
      </c>
      <c r="M24" s="682" t="s">
        <v>950</v>
      </c>
    </row>
    <row r="25" spans="1:13" x14ac:dyDescent="0.35">
      <c r="A25" s="876"/>
      <c r="B25" s="682" t="s">
        <v>951</v>
      </c>
      <c r="C25" s="682" t="s">
        <v>952</v>
      </c>
      <c r="D25" s="682" t="s">
        <v>791</v>
      </c>
      <c r="E25" s="682" t="s">
        <v>792</v>
      </c>
      <c r="F25" s="877">
        <v>44620</v>
      </c>
      <c r="G25" s="682" t="s">
        <v>793</v>
      </c>
      <c r="H25" s="878">
        <v>853369.2</v>
      </c>
      <c r="I25" s="682" t="s">
        <v>606</v>
      </c>
      <c r="J25" s="879">
        <v>4500000</v>
      </c>
      <c r="K25" s="682" t="s">
        <v>953</v>
      </c>
      <c r="M25" s="682" t="s">
        <v>954</v>
      </c>
    </row>
    <row r="26" spans="1:13" x14ac:dyDescent="0.35">
      <c r="A26" s="876"/>
      <c r="B26" s="682" t="s">
        <v>951</v>
      </c>
      <c r="C26" s="682" t="s">
        <v>955</v>
      </c>
      <c r="D26" s="682" t="s">
        <v>791</v>
      </c>
      <c r="E26" s="682" t="s">
        <v>792</v>
      </c>
      <c r="F26" s="877">
        <v>44620</v>
      </c>
      <c r="G26" s="682" t="s">
        <v>793</v>
      </c>
      <c r="H26" s="878">
        <v>835607.95</v>
      </c>
      <c r="I26" s="682" t="s">
        <v>606</v>
      </c>
      <c r="J26" s="879" t="s">
        <v>611</v>
      </c>
      <c r="K26" s="682" t="s">
        <v>953</v>
      </c>
      <c r="M26" s="682" t="s">
        <v>956</v>
      </c>
    </row>
    <row r="27" spans="1:13" x14ac:dyDescent="0.35">
      <c r="A27" s="876"/>
      <c r="B27" s="682" t="s">
        <v>951</v>
      </c>
      <c r="C27" s="682" t="s">
        <v>957</v>
      </c>
      <c r="D27" s="682" t="s">
        <v>791</v>
      </c>
      <c r="E27" s="682" t="s">
        <v>792</v>
      </c>
      <c r="F27" s="877">
        <v>44620</v>
      </c>
      <c r="G27" s="682" t="s">
        <v>793</v>
      </c>
      <c r="H27" s="878">
        <v>108552.71</v>
      </c>
      <c r="I27" s="682" t="s">
        <v>606</v>
      </c>
      <c r="J27" s="879" t="s">
        <v>624</v>
      </c>
      <c r="K27" s="682" t="s">
        <v>953</v>
      </c>
      <c r="M27" s="682" t="s">
        <v>958</v>
      </c>
    </row>
    <row r="28" spans="1:13" x14ac:dyDescent="0.35">
      <c r="A28" s="876"/>
      <c r="B28" s="682" t="s">
        <v>951</v>
      </c>
      <c r="C28" s="682" t="s">
        <v>959</v>
      </c>
      <c r="D28" s="682" t="s">
        <v>791</v>
      </c>
      <c r="E28" s="682" t="s">
        <v>792</v>
      </c>
      <c r="F28" s="877">
        <v>44620</v>
      </c>
      <c r="G28" s="682" t="s">
        <v>793</v>
      </c>
      <c r="H28" s="878">
        <v>57759.67</v>
      </c>
      <c r="I28" s="682" t="s">
        <v>606</v>
      </c>
      <c r="J28" s="879">
        <v>1400000</v>
      </c>
      <c r="K28" s="682" t="s">
        <v>960</v>
      </c>
      <c r="M28" s="682" t="s">
        <v>961</v>
      </c>
    </row>
    <row r="29" spans="1:13" x14ac:dyDescent="0.35">
      <c r="A29" s="876"/>
      <c r="B29" s="682" t="s">
        <v>951</v>
      </c>
      <c r="C29" s="682" t="s">
        <v>962</v>
      </c>
      <c r="D29" s="682" t="s">
        <v>791</v>
      </c>
      <c r="E29" s="682" t="s">
        <v>792</v>
      </c>
      <c r="F29" s="877">
        <v>44620</v>
      </c>
      <c r="G29" s="682" t="s">
        <v>793</v>
      </c>
      <c r="H29" s="878">
        <v>103574.2</v>
      </c>
      <c r="I29" s="682" t="s">
        <v>606</v>
      </c>
      <c r="J29" s="879" t="s">
        <v>554</v>
      </c>
      <c r="K29" s="682" t="s">
        <v>960</v>
      </c>
      <c r="M29" s="682" t="s">
        <v>963</v>
      </c>
    </row>
    <row r="30" spans="1:13" x14ac:dyDescent="0.35">
      <c r="A30" s="876"/>
      <c r="B30" s="682" t="s">
        <v>951</v>
      </c>
      <c r="C30" s="682" t="s">
        <v>964</v>
      </c>
      <c r="D30" s="682" t="s">
        <v>791</v>
      </c>
      <c r="E30" s="682" t="s">
        <v>792</v>
      </c>
      <c r="F30" s="877">
        <v>44620</v>
      </c>
      <c r="G30" s="682" t="s">
        <v>793</v>
      </c>
      <c r="H30" s="878">
        <v>587538.59</v>
      </c>
      <c r="I30" s="682" t="s">
        <v>606</v>
      </c>
      <c r="J30" s="879">
        <v>4500000</v>
      </c>
      <c r="K30" s="682" t="s">
        <v>965</v>
      </c>
      <c r="M30" s="682" t="s">
        <v>966</v>
      </c>
    </row>
    <row r="31" spans="1:13" x14ac:dyDescent="0.35">
      <c r="A31" s="876"/>
      <c r="B31" s="682" t="s">
        <v>951</v>
      </c>
      <c r="C31" s="682" t="s">
        <v>967</v>
      </c>
      <c r="D31" s="682" t="s">
        <v>791</v>
      </c>
      <c r="E31" s="682" t="s">
        <v>792</v>
      </c>
      <c r="F31" s="877">
        <v>44620</v>
      </c>
      <c r="G31" s="682" t="s">
        <v>793</v>
      </c>
      <c r="H31" s="878">
        <v>144180.20000000001</v>
      </c>
      <c r="I31" s="682" t="s">
        <v>606</v>
      </c>
      <c r="J31" s="879">
        <v>2600000</v>
      </c>
      <c r="K31" s="682" t="s">
        <v>960</v>
      </c>
      <c r="M31" s="682" t="s">
        <v>968</v>
      </c>
    </row>
    <row r="32" spans="1:13" x14ac:dyDescent="0.35">
      <c r="A32" s="876"/>
      <c r="B32" s="682" t="s">
        <v>951</v>
      </c>
      <c r="C32" s="682" t="s">
        <v>969</v>
      </c>
      <c r="D32" s="682" t="s">
        <v>791</v>
      </c>
      <c r="E32" s="682" t="s">
        <v>792</v>
      </c>
      <c r="F32" s="877">
        <v>44620</v>
      </c>
      <c r="G32" s="682" t="s">
        <v>793</v>
      </c>
      <c r="H32" s="878">
        <v>388787.91</v>
      </c>
      <c r="I32" s="682" t="s">
        <v>606</v>
      </c>
      <c r="J32" s="879">
        <v>4500000</v>
      </c>
      <c r="K32" s="682" t="s">
        <v>960</v>
      </c>
      <c r="M32" s="682" t="s">
        <v>970</v>
      </c>
    </row>
    <row r="33" spans="1:13" x14ac:dyDescent="0.35">
      <c r="A33" s="876"/>
      <c r="B33" s="682" t="s">
        <v>951</v>
      </c>
      <c r="C33" s="682" t="s">
        <v>971</v>
      </c>
      <c r="D33" s="682" t="s">
        <v>791</v>
      </c>
      <c r="E33" s="682" t="s">
        <v>792</v>
      </c>
      <c r="F33" s="877">
        <v>44620</v>
      </c>
      <c r="G33" s="682" t="s">
        <v>793</v>
      </c>
      <c r="H33" s="878">
        <v>168082.96</v>
      </c>
      <c r="I33" s="682" t="s">
        <v>606</v>
      </c>
      <c r="J33" s="879">
        <v>2100000</v>
      </c>
      <c r="K33" s="682" t="s">
        <v>972</v>
      </c>
      <c r="M33" s="682" t="s">
        <v>973</v>
      </c>
    </row>
    <row r="34" spans="1:13" x14ac:dyDescent="0.35">
      <c r="A34" s="876"/>
      <c r="B34" s="682" t="s">
        <v>951</v>
      </c>
      <c r="C34" s="682" t="s">
        <v>974</v>
      </c>
      <c r="D34" s="682" t="s">
        <v>791</v>
      </c>
      <c r="E34" s="682" t="s">
        <v>792</v>
      </c>
      <c r="F34" s="877">
        <v>44620</v>
      </c>
      <c r="G34" s="682" t="s">
        <v>793</v>
      </c>
      <c r="H34" s="878">
        <v>835607.95</v>
      </c>
      <c r="I34" s="682" t="s">
        <v>606</v>
      </c>
      <c r="J34" s="879" t="s">
        <v>611</v>
      </c>
      <c r="K34" s="682" t="s">
        <v>972</v>
      </c>
      <c r="M34" s="682" t="s">
        <v>975</v>
      </c>
    </row>
    <row r="35" spans="1:13" x14ac:dyDescent="0.35">
      <c r="A35" s="876"/>
      <c r="B35" s="682" t="s">
        <v>951</v>
      </c>
      <c r="C35" s="682" t="s">
        <v>976</v>
      </c>
      <c r="D35" s="682" t="s">
        <v>791</v>
      </c>
      <c r="E35" s="682" t="s">
        <v>792</v>
      </c>
      <c r="F35" s="877">
        <v>44620</v>
      </c>
      <c r="G35" s="682" t="s">
        <v>793</v>
      </c>
      <c r="H35" s="878">
        <v>49836.1</v>
      </c>
      <c r="I35" s="682" t="s">
        <v>606</v>
      </c>
      <c r="J35" s="879" t="s">
        <v>628</v>
      </c>
      <c r="K35" s="682" t="s">
        <v>953</v>
      </c>
      <c r="M35" s="682" t="s">
        <v>977</v>
      </c>
    </row>
    <row r="36" spans="1:13" x14ac:dyDescent="0.35">
      <c r="A36" s="876"/>
      <c r="B36" s="682" t="s">
        <v>951</v>
      </c>
      <c r="C36" s="682" t="s">
        <v>978</v>
      </c>
      <c r="D36" s="682" t="s">
        <v>791</v>
      </c>
      <c r="E36" s="682" t="s">
        <v>792</v>
      </c>
      <c r="F36" s="877">
        <v>44620</v>
      </c>
      <c r="G36" s="682" t="s">
        <v>793</v>
      </c>
      <c r="H36" s="878">
        <v>373997.32</v>
      </c>
      <c r="I36" s="682" t="s">
        <v>606</v>
      </c>
      <c r="J36" s="879">
        <v>4500000</v>
      </c>
      <c r="K36" s="682" t="s">
        <v>979</v>
      </c>
      <c r="M36" s="682" t="s">
        <v>980</v>
      </c>
    </row>
    <row r="37" spans="1:13" x14ac:dyDescent="0.35">
      <c r="A37" s="876"/>
      <c r="B37" s="682" t="s">
        <v>951</v>
      </c>
      <c r="C37" s="682" t="s">
        <v>981</v>
      </c>
      <c r="D37" s="682" t="s">
        <v>791</v>
      </c>
      <c r="E37" s="682" t="s">
        <v>792</v>
      </c>
      <c r="F37" s="877">
        <v>44620</v>
      </c>
      <c r="G37" s="682" t="s">
        <v>793</v>
      </c>
      <c r="H37" s="878">
        <v>884384.6</v>
      </c>
      <c r="I37" s="682" t="s">
        <v>606</v>
      </c>
      <c r="J37" s="879">
        <v>3700000</v>
      </c>
      <c r="K37" s="682" t="s">
        <v>979</v>
      </c>
      <c r="M37" s="682" t="s">
        <v>982</v>
      </c>
    </row>
    <row r="38" spans="1:13" x14ac:dyDescent="0.35">
      <c r="A38" s="876"/>
      <c r="B38" s="682" t="s">
        <v>951</v>
      </c>
      <c r="C38" s="682" t="s">
        <v>983</v>
      </c>
      <c r="D38" s="682" t="s">
        <v>791</v>
      </c>
      <c r="E38" s="682" t="s">
        <v>792</v>
      </c>
      <c r="F38" s="877">
        <v>44620</v>
      </c>
      <c r="G38" s="682" t="s">
        <v>793</v>
      </c>
      <c r="H38" s="878">
        <v>890883.16</v>
      </c>
      <c r="I38" s="682" t="s">
        <v>606</v>
      </c>
      <c r="J38" s="879">
        <v>9600000</v>
      </c>
      <c r="K38" s="682" t="s">
        <v>979</v>
      </c>
      <c r="M38" s="682" t="s">
        <v>984</v>
      </c>
    </row>
    <row r="39" spans="1:13" x14ac:dyDescent="0.35">
      <c r="A39" s="876"/>
      <c r="B39" s="682" t="s">
        <v>951</v>
      </c>
      <c r="C39" s="682" t="s">
        <v>985</v>
      </c>
      <c r="D39" s="682" t="s">
        <v>791</v>
      </c>
      <c r="E39" s="682" t="s">
        <v>792</v>
      </c>
      <c r="F39" s="877">
        <v>44620</v>
      </c>
      <c r="G39" s="682" t="s">
        <v>793</v>
      </c>
      <c r="H39" s="878">
        <v>481983.72</v>
      </c>
      <c r="I39" s="682" t="s">
        <v>606</v>
      </c>
      <c r="J39" s="879" t="s">
        <v>638</v>
      </c>
      <c r="K39" s="682" t="s">
        <v>965</v>
      </c>
      <c r="M39" s="682" t="s">
        <v>986</v>
      </c>
    </row>
    <row r="40" spans="1:13" x14ac:dyDescent="0.35">
      <c r="A40" s="876"/>
      <c r="B40" s="682" t="s">
        <v>951</v>
      </c>
      <c r="C40" s="682" t="s">
        <v>987</v>
      </c>
      <c r="D40" s="682" t="s">
        <v>791</v>
      </c>
      <c r="E40" s="682" t="s">
        <v>792</v>
      </c>
      <c r="F40" s="877">
        <v>44615</v>
      </c>
      <c r="G40" s="682" t="s">
        <v>793</v>
      </c>
      <c r="H40" s="878">
        <v>7484604.8099999996</v>
      </c>
      <c r="I40" s="682" t="s">
        <v>606</v>
      </c>
      <c r="J40" s="879" t="s">
        <v>555</v>
      </c>
      <c r="K40" s="682" t="s">
        <v>972</v>
      </c>
      <c r="M40" s="682" t="s">
        <v>988</v>
      </c>
    </row>
    <row r="41" spans="1:13" x14ac:dyDescent="0.35">
      <c r="A41" s="876"/>
      <c r="B41" s="682" t="s">
        <v>951</v>
      </c>
      <c r="C41" s="682" t="s">
        <v>989</v>
      </c>
      <c r="D41" s="682" t="s">
        <v>791</v>
      </c>
      <c r="E41" s="682" t="s">
        <v>792</v>
      </c>
      <c r="F41" s="877">
        <v>44616</v>
      </c>
      <c r="G41" s="682" t="s">
        <v>793</v>
      </c>
      <c r="H41" s="878">
        <v>243240.73</v>
      </c>
      <c r="I41" s="682" t="s">
        <v>606</v>
      </c>
      <c r="J41" s="879">
        <v>6001000</v>
      </c>
      <c r="K41" s="682" t="s">
        <v>979</v>
      </c>
      <c r="M41" s="682" t="s">
        <v>990</v>
      </c>
    </row>
    <row r="42" spans="1:13" x14ac:dyDescent="0.35">
      <c r="A42" s="876"/>
      <c r="B42" s="682" t="s">
        <v>951</v>
      </c>
      <c r="C42" s="682" t="s">
        <v>991</v>
      </c>
      <c r="D42" s="682" t="s">
        <v>791</v>
      </c>
      <c r="E42" s="682" t="s">
        <v>792</v>
      </c>
      <c r="F42" s="877">
        <v>44620</v>
      </c>
      <c r="G42" s="682" t="s">
        <v>793</v>
      </c>
      <c r="H42" s="878">
        <v>6254515.5</v>
      </c>
      <c r="I42" s="682" t="s">
        <v>606</v>
      </c>
      <c r="J42" s="879" t="s">
        <v>559</v>
      </c>
      <c r="K42" s="682" t="s">
        <v>953</v>
      </c>
      <c r="M42" s="682" t="s">
        <v>992</v>
      </c>
    </row>
    <row r="43" spans="1:13" x14ac:dyDescent="0.35">
      <c r="A43" s="876"/>
      <c r="B43" s="682" t="s">
        <v>951</v>
      </c>
      <c r="C43" s="682" t="s">
        <v>993</v>
      </c>
      <c r="D43" s="682" t="s">
        <v>791</v>
      </c>
      <c r="E43" s="682" t="s">
        <v>792</v>
      </c>
      <c r="F43" s="877">
        <v>44617</v>
      </c>
      <c r="G43" s="682" t="s">
        <v>793</v>
      </c>
      <c r="H43" s="878">
        <v>3491153.4</v>
      </c>
      <c r="I43" s="682" t="s">
        <v>606</v>
      </c>
      <c r="J43" s="879" t="s">
        <v>546</v>
      </c>
      <c r="K43" s="682" t="s">
        <v>965</v>
      </c>
      <c r="M43" s="682" t="s">
        <v>994</v>
      </c>
    </row>
    <row r="44" spans="1:13" x14ac:dyDescent="0.35">
      <c r="A44" s="876"/>
      <c r="B44" s="682" t="s">
        <v>951</v>
      </c>
      <c r="C44" s="682" t="s">
        <v>995</v>
      </c>
      <c r="D44" s="682" t="s">
        <v>791</v>
      </c>
      <c r="E44" s="682" t="s">
        <v>792</v>
      </c>
      <c r="F44" s="877">
        <v>44617</v>
      </c>
      <c r="G44" s="682" t="s">
        <v>793</v>
      </c>
      <c r="H44" s="878">
        <v>377509.5</v>
      </c>
      <c r="I44" s="682" t="s">
        <v>606</v>
      </c>
      <c r="J44" s="879">
        <v>3100000</v>
      </c>
      <c r="K44" s="682" t="s">
        <v>965</v>
      </c>
      <c r="M44" s="682" t="s">
        <v>996</v>
      </c>
    </row>
    <row r="45" spans="1:13" x14ac:dyDescent="0.35">
      <c r="A45" s="876"/>
      <c r="B45" s="682" t="s">
        <v>951</v>
      </c>
      <c r="C45" s="682" t="s">
        <v>997</v>
      </c>
      <c r="D45" s="682" t="s">
        <v>791</v>
      </c>
      <c r="E45" s="682" t="s">
        <v>792</v>
      </c>
      <c r="F45" s="877">
        <v>44620</v>
      </c>
      <c r="G45" s="682" t="s">
        <v>793</v>
      </c>
      <c r="H45" s="878">
        <v>1189646.54</v>
      </c>
      <c r="I45" s="682" t="s">
        <v>606</v>
      </c>
      <c r="J45" s="879" t="s">
        <v>551</v>
      </c>
      <c r="K45" s="682" t="s">
        <v>953</v>
      </c>
      <c r="M45" s="682" t="s">
        <v>998</v>
      </c>
    </row>
    <row r="46" spans="1:13" x14ac:dyDescent="0.35">
      <c r="A46" s="876"/>
      <c r="B46" s="682" t="s">
        <v>951</v>
      </c>
      <c r="C46" s="682" t="s">
        <v>999</v>
      </c>
      <c r="D46" s="682" t="s">
        <v>791</v>
      </c>
      <c r="E46" s="682" t="s">
        <v>792</v>
      </c>
      <c r="F46" s="877">
        <v>44620</v>
      </c>
      <c r="G46" s="682" t="s">
        <v>793</v>
      </c>
      <c r="H46" s="878">
        <v>5040155.01</v>
      </c>
      <c r="I46" s="682" t="s">
        <v>606</v>
      </c>
      <c r="J46" s="879">
        <v>4200000</v>
      </c>
      <c r="K46" s="682" t="s">
        <v>953</v>
      </c>
      <c r="M46" s="682" t="s">
        <v>1000</v>
      </c>
    </row>
    <row r="47" spans="1:13" x14ac:dyDescent="0.35">
      <c r="A47" s="876"/>
      <c r="B47" s="682" t="s">
        <v>951</v>
      </c>
      <c r="C47" s="682" t="s">
        <v>1001</v>
      </c>
      <c r="D47" s="682" t="s">
        <v>791</v>
      </c>
      <c r="E47" s="682" t="s">
        <v>792</v>
      </c>
      <c r="F47" s="877">
        <v>44620</v>
      </c>
      <c r="G47" s="682" t="s">
        <v>793</v>
      </c>
      <c r="H47" s="878">
        <v>7947</v>
      </c>
      <c r="I47" s="682" t="s">
        <v>606</v>
      </c>
      <c r="J47" s="879">
        <v>3500000</v>
      </c>
      <c r="K47" s="682" t="s">
        <v>953</v>
      </c>
      <c r="M47" s="682" t="s">
        <v>1002</v>
      </c>
    </row>
    <row r="48" spans="1:13" x14ac:dyDescent="0.35">
      <c r="A48" s="876"/>
      <c r="B48" s="682" t="s">
        <v>951</v>
      </c>
      <c r="C48" s="682" t="s">
        <v>1003</v>
      </c>
      <c r="D48" s="682" t="s">
        <v>791</v>
      </c>
      <c r="E48" s="682" t="s">
        <v>792</v>
      </c>
      <c r="F48" s="877">
        <v>44620</v>
      </c>
      <c r="G48" s="682" t="s">
        <v>793</v>
      </c>
      <c r="H48" s="878">
        <v>35368.44</v>
      </c>
      <c r="I48" s="682" t="s">
        <v>606</v>
      </c>
      <c r="J48" s="879">
        <v>1200000</v>
      </c>
      <c r="K48" s="682" t="s">
        <v>953</v>
      </c>
      <c r="M48" s="682" t="s">
        <v>1004</v>
      </c>
    </row>
    <row r="49" spans="1:13" x14ac:dyDescent="0.35">
      <c r="A49" s="876"/>
      <c r="B49" s="682" t="s">
        <v>951</v>
      </c>
      <c r="C49" s="682" t="s">
        <v>1005</v>
      </c>
      <c r="D49" s="682" t="s">
        <v>791</v>
      </c>
      <c r="E49" s="682" t="s">
        <v>792</v>
      </c>
      <c r="F49" s="877">
        <v>44620</v>
      </c>
      <c r="G49" s="682" t="s">
        <v>793</v>
      </c>
      <c r="H49" s="878">
        <v>61906.92</v>
      </c>
      <c r="I49" s="682" t="s">
        <v>606</v>
      </c>
      <c r="J49" s="879" t="s">
        <v>552</v>
      </c>
      <c r="K49" s="682" t="s">
        <v>953</v>
      </c>
      <c r="M49" s="682" t="s">
        <v>1006</v>
      </c>
    </row>
    <row r="50" spans="1:13" x14ac:dyDescent="0.35">
      <c r="A50" s="876"/>
      <c r="B50" s="682" t="s">
        <v>951</v>
      </c>
      <c r="C50" s="682" t="s">
        <v>1007</v>
      </c>
      <c r="D50" s="682" t="s">
        <v>791</v>
      </c>
      <c r="E50" s="682" t="s">
        <v>792</v>
      </c>
      <c r="F50" s="877">
        <v>44600</v>
      </c>
      <c r="G50" s="682" t="s">
        <v>793</v>
      </c>
      <c r="H50" s="878">
        <v>663049.35</v>
      </c>
      <c r="I50" s="682" t="s">
        <v>606</v>
      </c>
      <c r="J50" s="879" t="s">
        <v>556</v>
      </c>
      <c r="K50" s="682" t="s">
        <v>927</v>
      </c>
      <c r="M50" s="682" t="s">
        <v>1008</v>
      </c>
    </row>
    <row r="51" spans="1:13" x14ac:dyDescent="0.35">
      <c r="A51" s="876"/>
      <c r="B51" s="682" t="s">
        <v>951</v>
      </c>
      <c r="C51" s="682" t="s">
        <v>1009</v>
      </c>
      <c r="D51" s="682" t="s">
        <v>791</v>
      </c>
      <c r="E51" s="682" t="s">
        <v>792</v>
      </c>
      <c r="F51" s="877">
        <v>44608</v>
      </c>
      <c r="G51" s="682" t="s">
        <v>793</v>
      </c>
      <c r="H51" s="878">
        <v>174123.5</v>
      </c>
      <c r="I51" s="682" t="s">
        <v>606</v>
      </c>
      <c r="J51" s="879" t="s">
        <v>564</v>
      </c>
      <c r="K51" s="682" t="s">
        <v>1010</v>
      </c>
      <c r="M51" s="682" t="s">
        <v>1011</v>
      </c>
    </row>
    <row r="52" spans="1:13" x14ac:dyDescent="0.35">
      <c r="A52" s="876"/>
      <c r="B52" s="682" t="s">
        <v>951</v>
      </c>
      <c r="C52" s="682" t="s">
        <v>1012</v>
      </c>
      <c r="D52" s="682" t="s">
        <v>791</v>
      </c>
      <c r="E52" s="682" t="s">
        <v>792</v>
      </c>
      <c r="F52" s="877">
        <v>44608</v>
      </c>
      <c r="G52" s="682" t="s">
        <v>793</v>
      </c>
      <c r="H52" s="878">
        <v>401673.98</v>
      </c>
      <c r="I52" s="682" t="s">
        <v>606</v>
      </c>
      <c r="J52" s="879">
        <v>4500000</v>
      </c>
      <c r="K52" s="682" t="s">
        <v>1010</v>
      </c>
      <c r="M52" s="682" t="s">
        <v>1013</v>
      </c>
    </row>
    <row r="53" spans="1:13" x14ac:dyDescent="0.35">
      <c r="A53" s="876"/>
      <c r="B53" s="682" t="s">
        <v>951</v>
      </c>
      <c r="C53" s="682" t="s">
        <v>1014</v>
      </c>
      <c r="D53" s="682" t="s">
        <v>791</v>
      </c>
      <c r="E53" s="682" t="s">
        <v>792</v>
      </c>
      <c r="F53" s="877">
        <v>44609</v>
      </c>
      <c r="G53" s="682" t="s">
        <v>793</v>
      </c>
      <c r="H53" s="878">
        <v>1035014.43</v>
      </c>
      <c r="I53" s="682" t="s">
        <v>606</v>
      </c>
      <c r="J53" s="879">
        <v>4500000</v>
      </c>
      <c r="K53" s="682" t="s">
        <v>1015</v>
      </c>
      <c r="M53" s="682" t="s">
        <v>1016</v>
      </c>
    </row>
    <row r="54" spans="1:13" x14ac:dyDescent="0.35">
      <c r="A54" s="876"/>
      <c r="B54" s="682" t="s">
        <v>951</v>
      </c>
      <c r="C54" s="682" t="s">
        <v>1017</v>
      </c>
      <c r="D54" s="682" t="s">
        <v>791</v>
      </c>
      <c r="E54" s="682" t="s">
        <v>792</v>
      </c>
      <c r="F54" s="877">
        <v>44610</v>
      </c>
      <c r="G54" s="682" t="s">
        <v>793</v>
      </c>
      <c r="H54" s="878">
        <v>1957200.12</v>
      </c>
      <c r="I54" s="682" t="s">
        <v>606</v>
      </c>
      <c r="J54" s="879" t="s">
        <v>637</v>
      </c>
      <c r="K54" s="682" t="s">
        <v>1018</v>
      </c>
      <c r="M54" s="682" t="s">
        <v>1019</v>
      </c>
    </row>
    <row r="55" spans="1:13" x14ac:dyDescent="0.35">
      <c r="A55" s="876"/>
      <c r="B55" s="682" t="s">
        <v>951</v>
      </c>
      <c r="C55" s="682" t="s">
        <v>1020</v>
      </c>
      <c r="D55" s="682" t="s">
        <v>791</v>
      </c>
      <c r="E55" s="682" t="s">
        <v>792</v>
      </c>
      <c r="F55" s="877">
        <v>44610</v>
      </c>
      <c r="G55" s="682" t="s">
        <v>793</v>
      </c>
      <c r="H55" s="878">
        <v>330859.2</v>
      </c>
      <c r="I55" s="682" t="s">
        <v>606</v>
      </c>
      <c r="J55" s="879">
        <v>1800000</v>
      </c>
      <c r="K55" s="682" t="s">
        <v>1018</v>
      </c>
      <c r="M55" s="682" t="s">
        <v>1021</v>
      </c>
    </row>
    <row r="56" spans="1:13" x14ac:dyDescent="0.35">
      <c r="A56" s="876"/>
      <c r="B56" s="682" t="s">
        <v>951</v>
      </c>
      <c r="C56" s="682" t="s">
        <v>1022</v>
      </c>
      <c r="D56" s="682" t="s">
        <v>791</v>
      </c>
      <c r="E56" s="682" t="s">
        <v>792</v>
      </c>
      <c r="F56" s="877">
        <v>44610</v>
      </c>
      <c r="G56" s="682" t="s">
        <v>793</v>
      </c>
      <c r="H56" s="878">
        <v>903614</v>
      </c>
      <c r="I56" s="682" t="s">
        <v>606</v>
      </c>
      <c r="J56" s="879" t="s">
        <v>562</v>
      </c>
      <c r="K56" s="682" t="s">
        <v>1018</v>
      </c>
      <c r="M56" s="682" t="s">
        <v>1023</v>
      </c>
    </row>
    <row r="57" spans="1:13" x14ac:dyDescent="0.35">
      <c r="A57" s="876"/>
      <c r="B57" s="682" t="s">
        <v>951</v>
      </c>
      <c r="C57" s="682" t="s">
        <v>1024</v>
      </c>
      <c r="D57" s="682" t="s">
        <v>791</v>
      </c>
      <c r="E57" s="682" t="s">
        <v>792</v>
      </c>
      <c r="F57" s="877">
        <v>44610</v>
      </c>
      <c r="G57" s="682" t="s">
        <v>793</v>
      </c>
      <c r="H57" s="878">
        <v>638390.4</v>
      </c>
      <c r="I57" s="682" t="s">
        <v>606</v>
      </c>
      <c r="J57" s="879" t="s">
        <v>543</v>
      </c>
      <c r="K57" s="682" t="s">
        <v>1018</v>
      </c>
      <c r="M57" s="682" t="s">
        <v>1025</v>
      </c>
    </row>
    <row r="58" spans="1:13" x14ac:dyDescent="0.35">
      <c r="A58" s="876"/>
      <c r="B58" s="682" t="s">
        <v>951</v>
      </c>
      <c r="C58" s="682" t="s">
        <v>1026</v>
      </c>
      <c r="D58" s="682" t="s">
        <v>791</v>
      </c>
      <c r="E58" s="682" t="s">
        <v>792</v>
      </c>
      <c r="F58" s="877">
        <v>44613</v>
      </c>
      <c r="G58" s="682" t="s">
        <v>793</v>
      </c>
      <c r="H58" s="878">
        <v>1487882.64</v>
      </c>
      <c r="I58" s="682" t="s">
        <v>606</v>
      </c>
      <c r="J58" s="879" t="s">
        <v>541</v>
      </c>
      <c r="K58" s="682" t="s">
        <v>1027</v>
      </c>
      <c r="M58" s="682" t="s">
        <v>1028</v>
      </c>
    </row>
    <row r="59" spans="1:13" x14ac:dyDescent="0.35">
      <c r="A59" s="876"/>
      <c r="B59" s="682" t="s">
        <v>951</v>
      </c>
      <c r="C59" s="682" t="s">
        <v>1029</v>
      </c>
      <c r="D59" s="682" t="s">
        <v>791</v>
      </c>
      <c r="E59" s="682" t="s">
        <v>792</v>
      </c>
      <c r="F59" s="877">
        <v>44613</v>
      </c>
      <c r="G59" s="682" t="s">
        <v>793</v>
      </c>
      <c r="H59" s="878">
        <v>75008.87</v>
      </c>
      <c r="I59" s="682" t="s">
        <v>606</v>
      </c>
      <c r="J59" s="879">
        <v>1600000</v>
      </c>
      <c r="K59" s="682" t="s">
        <v>1027</v>
      </c>
      <c r="M59" s="682" t="s">
        <v>1030</v>
      </c>
    </row>
    <row r="60" spans="1:13" x14ac:dyDescent="0.35">
      <c r="A60" s="876"/>
      <c r="B60" s="682" t="s">
        <v>951</v>
      </c>
      <c r="C60" s="682" t="s">
        <v>1031</v>
      </c>
      <c r="D60" s="682" t="s">
        <v>791</v>
      </c>
      <c r="E60" s="682" t="s">
        <v>792</v>
      </c>
      <c r="F60" s="877">
        <v>44613</v>
      </c>
      <c r="G60" s="682" t="s">
        <v>793</v>
      </c>
      <c r="H60" s="878">
        <v>241840.1</v>
      </c>
      <c r="I60" s="682" t="s">
        <v>606</v>
      </c>
      <c r="J60" s="879" t="s">
        <v>615</v>
      </c>
      <c r="K60" s="682" t="s">
        <v>1027</v>
      </c>
      <c r="M60" s="682" t="s">
        <v>1032</v>
      </c>
    </row>
    <row r="61" spans="1:13" x14ac:dyDescent="0.35">
      <c r="A61" s="876"/>
      <c r="B61" s="682" t="s">
        <v>951</v>
      </c>
      <c r="C61" s="682" t="s">
        <v>1033</v>
      </c>
      <c r="D61" s="682" t="s">
        <v>791</v>
      </c>
      <c r="E61" s="682" t="s">
        <v>792</v>
      </c>
      <c r="F61" s="877">
        <v>44613</v>
      </c>
      <c r="G61" s="682" t="s">
        <v>793</v>
      </c>
      <c r="H61" s="878">
        <v>440141.57</v>
      </c>
      <c r="I61" s="682" t="s">
        <v>606</v>
      </c>
      <c r="J61" s="879">
        <v>4500000</v>
      </c>
      <c r="K61" s="682" t="s">
        <v>1027</v>
      </c>
      <c r="M61" s="682" t="s">
        <v>1034</v>
      </c>
    </row>
    <row r="62" spans="1:13" x14ac:dyDescent="0.35">
      <c r="A62" s="876"/>
      <c r="B62" s="682" t="s">
        <v>951</v>
      </c>
      <c r="C62" s="682" t="s">
        <v>1035</v>
      </c>
      <c r="D62" s="682" t="s">
        <v>791</v>
      </c>
      <c r="E62" s="682" t="s">
        <v>792</v>
      </c>
      <c r="F62" s="877">
        <v>44613</v>
      </c>
      <c r="G62" s="682" t="s">
        <v>793</v>
      </c>
      <c r="H62" s="878">
        <v>248214</v>
      </c>
      <c r="I62" s="682" t="s">
        <v>606</v>
      </c>
      <c r="J62" s="879" t="s">
        <v>629</v>
      </c>
      <c r="K62" s="682" t="s">
        <v>1027</v>
      </c>
      <c r="M62" s="682" t="s">
        <v>1036</v>
      </c>
    </row>
    <row r="63" spans="1:13" x14ac:dyDescent="0.35">
      <c r="A63" s="876"/>
      <c r="B63" s="682" t="s">
        <v>951</v>
      </c>
      <c r="C63" s="682" t="s">
        <v>1037</v>
      </c>
      <c r="D63" s="682" t="s">
        <v>791</v>
      </c>
      <c r="E63" s="682" t="s">
        <v>792</v>
      </c>
      <c r="F63" s="877">
        <v>44610</v>
      </c>
      <c r="G63" s="682" t="s">
        <v>793</v>
      </c>
      <c r="H63" s="878">
        <v>1321759.8799999999</v>
      </c>
      <c r="I63" s="682" t="s">
        <v>606</v>
      </c>
      <c r="J63" s="879">
        <v>5300000</v>
      </c>
      <c r="K63" s="682" t="s">
        <v>1018</v>
      </c>
      <c r="M63" s="682" t="s">
        <v>1038</v>
      </c>
    </row>
    <row r="64" spans="1:13" s="682" customFormat="1" x14ac:dyDescent="0.35">
      <c r="A64" s="882"/>
      <c r="B64" s="682" t="s">
        <v>951</v>
      </c>
      <c r="C64" s="682" t="s">
        <v>1009</v>
      </c>
      <c r="D64" s="682" t="s">
        <v>791</v>
      </c>
      <c r="E64" s="682" t="s">
        <v>792</v>
      </c>
      <c r="F64" s="877">
        <v>44608</v>
      </c>
      <c r="G64" s="682" t="s">
        <v>793</v>
      </c>
      <c r="H64" s="878">
        <v>185067.7</v>
      </c>
      <c r="I64" s="682" t="s">
        <v>606</v>
      </c>
      <c r="J64" s="879" t="s">
        <v>564</v>
      </c>
      <c r="K64" s="682" t="s">
        <v>1010</v>
      </c>
      <c r="M64" s="682" t="s">
        <v>1011</v>
      </c>
    </row>
    <row r="65" spans="8:8" x14ac:dyDescent="0.35">
      <c r="H65" s="883">
        <f>SUM(H2:H64)</f>
        <v>66274157.61999999</v>
      </c>
    </row>
  </sheetData>
  <autoFilter ref="A1:P65" xr:uid="{785F555A-3470-4E2D-8644-FF0AE976D29B}"/>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396"/>
  <sheetViews>
    <sheetView topLeftCell="A316" workbookViewId="0">
      <selection activeCell="D328" sqref="D328"/>
    </sheetView>
  </sheetViews>
  <sheetFormatPr defaultRowHeight="14.5" x14ac:dyDescent="0.35"/>
  <cols>
    <col min="1" max="1" width="65" style="682" customWidth="1"/>
    <col min="2" max="2" width="17.6328125" style="682" customWidth="1"/>
    <col min="3" max="3" width="16.6328125" style="682" customWidth="1"/>
    <col min="4" max="4" width="21" style="675" customWidth="1"/>
  </cols>
  <sheetData>
    <row r="1" spans="1:4" x14ac:dyDescent="0.35">
      <c r="A1" s="683" t="s">
        <v>1</v>
      </c>
      <c r="B1" s="683" t="s">
        <v>704</v>
      </c>
      <c r="C1" s="683" t="s">
        <v>705</v>
      </c>
      <c r="D1" s="674" t="s">
        <v>588</v>
      </c>
    </row>
    <row r="2" spans="1:4" x14ac:dyDescent="0.35">
      <c r="A2" s="713" t="s">
        <v>706</v>
      </c>
      <c r="B2" s="714">
        <v>44316</v>
      </c>
      <c r="C2" s="713" t="s">
        <v>707</v>
      </c>
      <c r="D2" s="715">
        <v>8553</v>
      </c>
    </row>
    <row r="3" spans="1:4" x14ac:dyDescent="0.35">
      <c r="A3" s="716" t="s">
        <v>6</v>
      </c>
      <c r="B3" s="717"/>
      <c r="C3" s="716"/>
      <c r="D3" s="718">
        <f>SUM(D2)</f>
        <v>8553</v>
      </c>
    </row>
    <row r="4" spans="1:4" x14ac:dyDescent="0.35">
      <c r="A4" s="325"/>
      <c r="B4" s="708"/>
      <c r="C4" s="325"/>
      <c r="D4" s="709"/>
    </row>
    <row r="5" spans="1:4" x14ac:dyDescent="0.35">
      <c r="A5" s="713" t="s">
        <v>708</v>
      </c>
      <c r="B5" s="714">
        <v>44316</v>
      </c>
      <c r="C5" s="713" t="s">
        <v>709</v>
      </c>
      <c r="D5" s="715">
        <v>637.33000000000004</v>
      </c>
    </row>
    <row r="6" spans="1:4" x14ac:dyDescent="0.35">
      <c r="A6" s="713" t="s">
        <v>708</v>
      </c>
      <c r="B6" s="714">
        <v>44316</v>
      </c>
      <c r="C6" s="713" t="s">
        <v>710</v>
      </c>
      <c r="D6" s="715">
        <v>0</v>
      </c>
    </row>
    <row r="7" spans="1:4" x14ac:dyDescent="0.35">
      <c r="A7" s="716" t="s">
        <v>6</v>
      </c>
      <c r="B7" s="717"/>
      <c r="C7" s="716"/>
      <c r="D7" s="718">
        <f>SUM(D5:D6)</f>
        <v>637.33000000000004</v>
      </c>
    </row>
    <row r="8" spans="1:4" x14ac:dyDescent="0.35">
      <c r="A8" s="325"/>
      <c r="B8" s="708"/>
      <c r="C8" s="325"/>
      <c r="D8" s="709"/>
    </row>
    <row r="9" spans="1:4" x14ac:dyDescent="0.35">
      <c r="A9" s="713" t="s">
        <v>711</v>
      </c>
      <c r="B9" s="714">
        <v>44316</v>
      </c>
      <c r="C9" s="713" t="s">
        <v>712</v>
      </c>
      <c r="D9" s="715">
        <v>13194.75</v>
      </c>
    </row>
    <row r="10" spans="1:4" x14ac:dyDescent="0.35">
      <c r="A10" s="713" t="s">
        <v>711</v>
      </c>
      <c r="B10" s="714">
        <v>44316</v>
      </c>
      <c r="C10" s="713" t="s">
        <v>710</v>
      </c>
      <c r="D10" s="715">
        <v>0</v>
      </c>
    </row>
    <row r="11" spans="1:4" x14ac:dyDescent="0.35">
      <c r="A11" s="713" t="s">
        <v>711</v>
      </c>
      <c r="B11" s="714">
        <v>44316</v>
      </c>
      <c r="C11" s="713" t="s">
        <v>709</v>
      </c>
      <c r="D11" s="715">
        <v>99677.15</v>
      </c>
    </row>
    <row r="12" spans="1:4" x14ac:dyDescent="0.35">
      <c r="A12" s="713" t="s">
        <v>711</v>
      </c>
      <c r="B12" s="714">
        <v>44316</v>
      </c>
      <c r="C12" s="713" t="s">
        <v>713</v>
      </c>
      <c r="D12" s="715">
        <v>22270.5</v>
      </c>
    </row>
    <row r="13" spans="1:4" x14ac:dyDescent="0.35">
      <c r="A13" s="713" t="s">
        <v>711</v>
      </c>
      <c r="B13" s="714">
        <v>44316</v>
      </c>
      <c r="C13" s="713" t="s">
        <v>707</v>
      </c>
      <c r="D13" s="715">
        <v>4879928</v>
      </c>
    </row>
    <row r="14" spans="1:4" x14ac:dyDescent="0.35">
      <c r="A14" s="713" t="s">
        <v>711</v>
      </c>
      <c r="B14" s="714">
        <v>44316</v>
      </c>
      <c r="C14" s="713" t="s">
        <v>714</v>
      </c>
      <c r="D14" s="715">
        <v>1565594.01</v>
      </c>
    </row>
    <row r="15" spans="1:4" s="683" customFormat="1" x14ac:dyDescent="0.35">
      <c r="A15" s="716" t="s">
        <v>6</v>
      </c>
      <c r="B15" s="717"/>
      <c r="C15" s="716"/>
      <c r="D15" s="718">
        <f>SUM(D9:D14)</f>
        <v>6580664.4100000001</v>
      </c>
    </row>
    <row r="16" spans="1:4" x14ac:dyDescent="0.35">
      <c r="A16" s="325"/>
      <c r="B16" s="708"/>
      <c r="C16" s="325"/>
      <c r="D16" s="709"/>
    </row>
    <row r="17" spans="1:4" x14ac:dyDescent="0.35">
      <c r="A17" s="713" t="s">
        <v>715</v>
      </c>
      <c r="B17" s="714">
        <v>44316</v>
      </c>
      <c r="C17" s="713" t="s">
        <v>712</v>
      </c>
      <c r="D17" s="715">
        <v>1501.5</v>
      </c>
    </row>
    <row r="18" spans="1:4" x14ac:dyDescent="0.35">
      <c r="A18" s="713" t="s">
        <v>715</v>
      </c>
      <c r="B18" s="714">
        <v>44316</v>
      </c>
      <c r="C18" s="713" t="s">
        <v>707</v>
      </c>
      <c r="D18" s="715">
        <v>555576</v>
      </c>
    </row>
    <row r="19" spans="1:4" x14ac:dyDescent="0.35">
      <c r="A19" s="713" t="s">
        <v>715</v>
      </c>
      <c r="B19" s="714">
        <v>44316</v>
      </c>
      <c r="C19" s="713" t="s">
        <v>713</v>
      </c>
      <c r="D19" s="715">
        <v>1015.5</v>
      </c>
    </row>
    <row r="20" spans="1:4" x14ac:dyDescent="0.35">
      <c r="A20" s="713" t="s">
        <v>715</v>
      </c>
      <c r="B20" s="714">
        <v>44316</v>
      </c>
      <c r="C20" s="713" t="s">
        <v>709</v>
      </c>
      <c r="D20" s="715">
        <v>297827.68</v>
      </c>
    </row>
    <row r="21" spans="1:4" x14ac:dyDescent="0.35">
      <c r="A21" s="713" t="s">
        <v>715</v>
      </c>
      <c r="B21" s="714">
        <v>44316</v>
      </c>
      <c r="C21" s="713" t="s">
        <v>714</v>
      </c>
      <c r="D21" s="715">
        <v>139507.51999999999</v>
      </c>
    </row>
    <row r="22" spans="1:4" x14ac:dyDescent="0.35">
      <c r="A22" s="716" t="s">
        <v>6</v>
      </c>
      <c r="B22" s="717"/>
      <c r="C22" s="716"/>
      <c r="D22" s="718">
        <f>SUM(D16:D21)</f>
        <v>995428.2</v>
      </c>
    </row>
    <row r="23" spans="1:4" x14ac:dyDescent="0.35">
      <c r="A23" s="325"/>
      <c r="B23" s="708"/>
      <c r="C23" s="325"/>
      <c r="D23" s="709"/>
    </row>
    <row r="24" spans="1:4" x14ac:dyDescent="0.35">
      <c r="A24" s="713" t="s">
        <v>716</v>
      </c>
      <c r="B24" s="714">
        <v>44316</v>
      </c>
      <c r="C24" s="713" t="s">
        <v>714</v>
      </c>
      <c r="D24" s="715">
        <v>104452.35</v>
      </c>
    </row>
    <row r="25" spans="1:4" x14ac:dyDescent="0.35">
      <c r="A25" s="713" t="s">
        <v>716</v>
      </c>
      <c r="B25" s="714">
        <v>44316</v>
      </c>
      <c r="C25" s="713" t="s">
        <v>707</v>
      </c>
      <c r="D25" s="715">
        <v>542822</v>
      </c>
    </row>
    <row r="26" spans="1:4" x14ac:dyDescent="0.35">
      <c r="A26" s="713" t="s">
        <v>716</v>
      </c>
      <c r="B26" s="714">
        <v>44316</v>
      </c>
      <c r="C26" s="713" t="s">
        <v>709</v>
      </c>
      <c r="D26" s="715">
        <v>42138.09</v>
      </c>
    </row>
    <row r="27" spans="1:4" x14ac:dyDescent="0.35">
      <c r="A27" s="713" t="s">
        <v>716</v>
      </c>
      <c r="B27" s="714">
        <v>44316</v>
      </c>
      <c r="C27" s="713" t="s">
        <v>713</v>
      </c>
      <c r="D27" s="715">
        <v>264</v>
      </c>
    </row>
    <row r="28" spans="1:4" x14ac:dyDescent="0.35">
      <c r="A28" s="716" t="s">
        <v>6</v>
      </c>
      <c r="B28" s="717"/>
      <c r="C28" s="716"/>
      <c r="D28" s="718">
        <f>SUM(D24:D27)</f>
        <v>689676.44</v>
      </c>
    </row>
    <row r="29" spans="1:4" x14ac:dyDescent="0.35">
      <c r="A29" s="713"/>
      <c r="B29" s="714"/>
      <c r="C29" s="713"/>
      <c r="D29" s="715"/>
    </row>
    <row r="30" spans="1:4" x14ac:dyDescent="0.35">
      <c r="A30" s="713" t="s">
        <v>717</v>
      </c>
      <c r="B30" s="714">
        <v>44316</v>
      </c>
      <c r="C30" s="713" t="s">
        <v>707</v>
      </c>
      <c r="D30" s="715">
        <v>6282320</v>
      </c>
    </row>
    <row r="31" spans="1:4" x14ac:dyDescent="0.35">
      <c r="A31" s="713" t="s">
        <v>717</v>
      </c>
      <c r="B31" s="714">
        <v>44316</v>
      </c>
      <c r="C31" s="713" t="s">
        <v>712</v>
      </c>
      <c r="D31" s="715">
        <v>3074.25</v>
      </c>
    </row>
    <row r="32" spans="1:4" x14ac:dyDescent="0.35">
      <c r="A32" s="713" t="s">
        <v>717</v>
      </c>
      <c r="B32" s="714">
        <v>44316</v>
      </c>
      <c r="C32" s="713" t="s">
        <v>714</v>
      </c>
      <c r="D32" s="715">
        <v>631500.02</v>
      </c>
    </row>
    <row r="33" spans="1:4" x14ac:dyDescent="0.35">
      <c r="A33" s="713" t="s">
        <v>717</v>
      </c>
      <c r="B33" s="714">
        <v>44316</v>
      </c>
      <c r="C33" s="713" t="s">
        <v>709</v>
      </c>
      <c r="D33" s="715">
        <v>318414.57</v>
      </c>
    </row>
    <row r="34" spans="1:4" x14ac:dyDescent="0.35">
      <c r="A34" s="713" t="s">
        <v>717</v>
      </c>
      <c r="B34" s="714">
        <v>44316</v>
      </c>
      <c r="C34" s="713" t="s">
        <v>710</v>
      </c>
      <c r="D34" s="715">
        <v>0</v>
      </c>
    </row>
    <row r="35" spans="1:4" x14ac:dyDescent="0.35">
      <c r="A35" s="713" t="s">
        <v>717</v>
      </c>
      <c r="B35" s="714">
        <v>44316</v>
      </c>
      <c r="C35" s="713" t="s">
        <v>713</v>
      </c>
      <c r="D35" s="715">
        <v>12232.5</v>
      </c>
    </row>
    <row r="36" spans="1:4" x14ac:dyDescent="0.35">
      <c r="A36" s="713" t="s">
        <v>717</v>
      </c>
      <c r="B36" s="714">
        <v>44316</v>
      </c>
      <c r="C36" s="713" t="s">
        <v>718</v>
      </c>
      <c r="D36" s="715">
        <v>-147386</v>
      </c>
    </row>
    <row r="37" spans="1:4" x14ac:dyDescent="0.35">
      <c r="A37" s="713" t="s">
        <v>717</v>
      </c>
      <c r="B37" s="714">
        <v>44316</v>
      </c>
      <c r="C37" s="713" t="s">
        <v>719</v>
      </c>
      <c r="D37" s="715">
        <v>2810.78</v>
      </c>
    </row>
    <row r="38" spans="1:4" x14ac:dyDescent="0.35">
      <c r="A38" s="716" t="s">
        <v>6</v>
      </c>
      <c r="B38" s="717"/>
      <c r="C38" s="716"/>
      <c r="D38" s="718">
        <f>SUM(D30:D37)</f>
        <v>7102966.1200000001</v>
      </c>
    </row>
    <row r="39" spans="1:4" x14ac:dyDescent="0.35">
      <c r="A39" s="325"/>
      <c r="B39" s="708"/>
      <c r="C39" s="325"/>
      <c r="D39" s="709"/>
    </row>
    <row r="40" spans="1:4" x14ac:dyDescent="0.35">
      <c r="A40" s="713" t="s">
        <v>720</v>
      </c>
      <c r="B40" s="714">
        <v>44316</v>
      </c>
      <c r="C40" s="713" t="s">
        <v>714</v>
      </c>
      <c r="D40" s="715">
        <v>36888.699999999997</v>
      </c>
    </row>
    <row r="41" spans="1:4" x14ac:dyDescent="0.35">
      <c r="A41" s="713" t="s">
        <v>720</v>
      </c>
      <c r="B41" s="714">
        <v>44316</v>
      </c>
      <c r="C41" s="713" t="s">
        <v>707</v>
      </c>
      <c r="D41" s="715">
        <v>174818</v>
      </c>
    </row>
    <row r="42" spans="1:4" x14ac:dyDescent="0.35">
      <c r="A42" s="713" t="s">
        <v>720</v>
      </c>
      <c r="B42" s="714">
        <v>44316</v>
      </c>
      <c r="C42" s="713" t="s">
        <v>712</v>
      </c>
      <c r="D42" s="715">
        <v>87.8</v>
      </c>
    </row>
    <row r="43" spans="1:4" x14ac:dyDescent="0.35">
      <c r="A43" s="713" t="s">
        <v>720</v>
      </c>
      <c r="B43" s="714">
        <v>44316</v>
      </c>
      <c r="C43" s="713" t="s">
        <v>713</v>
      </c>
      <c r="D43" s="715">
        <v>1690</v>
      </c>
    </row>
    <row r="44" spans="1:4" x14ac:dyDescent="0.35">
      <c r="A44" s="713" t="s">
        <v>720</v>
      </c>
      <c r="B44" s="714">
        <v>44316</v>
      </c>
      <c r="C44" s="713" t="s">
        <v>709</v>
      </c>
      <c r="D44" s="715">
        <v>213467.21</v>
      </c>
    </row>
    <row r="45" spans="1:4" x14ac:dyDescent="0.35">
      <c r="A45" s="716" t="s">
        <v>6</v>
      </c>
      <c r="B45" s="717"/>
      <c r="C45" s="716"/>
      <c r="D45" s="718">
        <f>SUM(D40:D44)</f>
        <v>426951.70999999996</v>
      </c>
    </row>
    <row r="46" spans="1:4" x14ac:dyDescent="0.35">
      <c r="A46" s="325"/>
      <c r="B46" s="708"/>
      <c r="C46" s="325"/>
      <c r="D46" s="709"/>
    </row>
    <row r="47" spans="1:4" x14ac:dyDescent="0.35">
      <c r="A47" s="325" t="s">
        <v>721</v>
      </c>
      <c r="B47" s="708">
        <v>44316</v>
      </c>
      <c r="C47" s="325" t="s">
        <v>712</v>
      </c>
      <c r="D47" s="709">
        <v>1560.9</v>
      </c>
    </row>
    <row r="48" spans="1:4" x14ac:dyDescent="0.35">
      <c r="A48" s="325" t="s">
        <v>721</v>
      </c>
      <c r="B48" s="708">
        <v>44316</v>
      </c>
      <c r="C48" s="325" t="s">
        <v>714</v>
      </c>
      <c r="D48" s="709">
        <v>233047.12</v>
      </c>
    </row>
    <row r="49" spans="1:4" x14ac:dyDescent="0.35">
      <c r="A49" s="325" t="s">
        <v>721</v>
      </c>
      <c r="B49" s="708">
        <v>44316</v>
      </c>
      <c r="C49" s="325" t="s">
        <v>707</v>
      </c>
      <c r="D49" s="709">
        <v>0</v>
      </c>
    </row>
    <row r="50" spans="1:4" x14ac:dyDescent="0.35">
      <c r="A50" s="325" t="s">
        <v>721</v>
      </c>
      <c r="B50" s="708">
        <v>44316</v>
      </c>
      <c r="C50" s="325" t="s">
        <v>718</v>
      </c>
      <c r="D50" s="709">
        <v>0</v>
      </c>
    </row>
    <row r="51" spans="1:4" x14ac:dyDescent="0.35">
      <c r="A51" s="325" t="s">
        <v>721</v>
      </c>
      <c r="B51" s="708">
        <v>44316</v>
      </c>
      <c r="C51" s="325" t="s">
        <v>722</v>
      </c>
      <c r="D51" s="709">
        <v>0</v>
      </c>
    </row>
    <row r="52" spans="1:4" x14ac:dyDescent="0.35">
      <c r="A52" s="325" t="s">
        <v>721</v>
      </c>
      <c r="B52" s="708">
        <v>44316</v>
      </c>
      <c r="C52" s="325" t="s">
        <v>709</v>
      </c>
      <c r="D52" s="709">
        <v>0</v>
      </c>
    </row>
    <row r="53" spans="1:4" x14ac:dyDescent="0.35">
      <c r="A53" s="325" t="s">
        <v>721</v>
      </c>
      <c r="B53" s="708">
        <v>44316</v>
      </c>
      <c r="C53" s="325" t="s">
        <v>713</v>
      </c>
      <c r="D53" s="709">
        <v>4121</v>
      </c>
    </row>
    <row r="54" spans="1:4" x14ac:dyDescent="0.35">
      <c r="A54" s="710" t="s">
        <v>6</v>
      </c>
      <c r="B54" s="711"/>
      <c r="C54" s="710"/>
      <c r="D54" s="712">
        <f>SUM(D47:D53)</f>
        <v>238729.02</v>
      </c>
    </row>
    <row r="55" spans="1:4" x14ac:dyDescent="0.35">
      <c r="A55" s="325"/>
      <c r="B55" s="708"/>
      <c r="C55" s="325"/>
      <c r="D55" s="709"/>
    </row>
    <row r="56" spans="1:4" x14ac:dyDescent="0.35">
      <c r="A56" s="713" t="s">
        <v>723</v>
      </c>
      <c r="B56" s="714">
        <v>44316</v>
      </c>
      <c r="C56" s="713" t="s">
        <v>714</v>
      </c>
      <c r="D56" s="715">
        <v>2607558.27</v>
      </c>
    </row>
    <row r="57" spans="1:4" x14ac:dyDescent="0.35">
      <c r="A57" s="713" t="s">
        <v>723</v>
      </c>
      <c r="B57" s="714">
        <v>44316</v>
      </c>
      <c r="C57" s="713" t="s">
        <v>724</v>
      </c>
      <c r="D57" s="715">
        <v>65624.73</v>
      </c>
    </row>
    <row r="58" spans="1:4" x14ac:dyDescent="0.35">
      <c r="A58" s="713" t="s">
        <v>723</v>
      </c>
      <c r="B58" s="714">
        <v>44316</v>
      </c>
      <c r="C58" s="713" t="s">
        <v>719</v>
      </c>
      <c r="D58" s="715">
        <v>12917.96</v>
      </c>
    </row>
    <row r="59" spans="1:4" x14ac:dyDescent="0.35">
      <c r="A59" s="713" t="s">
        <v>723</v>
      </c>
      <c r="B59" s="714">
        <v>44316</v>
      </c>
      <c r="C59" s="713" t="s">
        <v>712</v>
      </c>
      <c r="D59" s="715">
        <v>10134.120000000001</v>
      </c>
    </row>
    <row r="60" spans="1:4" x14ac:dyDescent="0.35">
      <c r="A60" s="713" t="s">
        <v>723</v>
      </c>
      <c r="B60" s="714">
        <v>44316</v>
      </c>
      <c r="C60" s="713" t="s">
        <v>722</v>
      </c>
      <c r="D60" s="715">
        <v>-465799.73</v>
      </c>
    </row>
    <row r="61" spans="1:4" x14ac:dyDescent="0.35">
      <c r="A61" s="713" t="s">
        <v>723</v>
      </c>
      <c r="B61" s="714">
        <v>44316</v>
      </c>
      <c r="C61" s="713" t="s">
        <v>707</v>
      </c>
      <c r="D61" s="715">
        <v>12097714.84</v>
      </c>
    </row>
    <row r="62" spans="1:4" x14ac:dyDescent="0.35">
      <c r="A62" s="713" t="s">
        <v>723</v>
      </c>
      <c r="B62" s="714">
        <v>44316</v>
      </c>
      <c r="C62" s="713" t="s">
        <v>713</v>
      </c>
      <c r="D62" s="715">
        <v>27985</v>
      </c>
    </row>
    <row r="63" spans="1:4" x14ac:dyDescent="0.35">
      <c r="A63" s="713" t="s">
        <v>723</v>
      </c>
      <c r="B63" s="714">
        <v>44316</v>
      </c>
      <c r="C63" s="713" t="s">
        <v>709</v>
      </c>
      <c r="D63" s="715">
        <v>1543470.54</v>
      </c>
    </row>
    <row r="64" spans="1:4" x14ac:dyDescent="0.35">
      <c r="A64" s="716" t="s">
        <v>6</v>
      </c>
      <c r="B64" s="717"/>
      <c r="C64" s="716"/>
      <c r="D64" s="718">
        <f>SUM(D56:D63)</f>
        <v>15899605.73</v>
      </c>
    </row>
    <row r="65" spans="1:4" x14ac:dyDescent="0.35">
      <c r="A65" s="325"/>
      <c r="B65" s="708"/>
      <c r="C65" s="325"/>
      <c r="D65" s="709"/>
    </row>
    <row r="66" spans="1:4" x14ac:dyDescent="0.35">
      <c r="A66" s="713" t="s">
        <v>725</v>
      </c>
      <c r="B66" s="714">
        <v>44316</v>
      </c>
      <c r="C66" s="713" t="s">
        <v>718</v>
      </c>
      <c r="D66" s="715">
        <v>-37584</v>
      </c>
    </row>
    <row r="67" spans="1:4" x14ac:dyDescent="0.35">
      <c r="A67" s="713" t="s">
        <v>725</v>
      </c>
      <c r="B67" s="714">
        <v>44316</v>
      </c>
      <c r="C67" s="713" t="s">
        <v>722</v>
      </c>
      <c r="D67" s="715">
        <v>-134100.32999999999</v>
      </c>
    </row>
    <row r="68" spans="1:4" x14ac:dyDescent="0.35">
      <c r="A68" s="713" t="s">
        <v>725</v>
      </c>
      <c r="B68" s="714">
        <v>44316</v>
      </c>
      <c r="C68" s="713" t="s">
        <v>714</v>
      </c>
      <c r="D68" s="715">
        <v>265391.13</v>
      </c>
    </row>
    <row r="69" spans="1:4" x14ac:dyDescent="0.35">
      <c r="A69" s="713" t="s">
        <v>725</v>
      </c>
      <c r="B69" s="714">
        <v>44316</v>
      </c>
      <c r="C69" s="713" t="s">
        <v>709</v>
      </c>
      <c r="D69" s="715">
        <v>1238754.25</v>
      </c>
    </row>
    <row r="70" spans="1:4" x14ac:dyDescent="0.35">
      <c r="A70" s="713" t="s">
        <v>725</v>
      </c>
      <c r="B70" s="714">
        <v>44316</v>
      </c>
      <c r="C70" s="713" t="s">
        <v>713</v>
      </c>
      <c r="D70" s="715">
        <v>491</v>
      </c>
    </row>
    <row r="71" spans="1:4" x14ac:dyDescent="0.35">
      <c r="A71" s="713" t="s">
        <v>725</v>
      </c>
      <c r="B71" s="714">
        <v>44316</v>
      </c>
      <c r="C71" s="713" t="s">
        <v>710</v>
      </c>
      <c r="D71" s="715">
        <v>12802.37</v>
      </c>
    </row>
    <row r="72" spans="1:4" x14ac:dyDescent="0.35">
      <c r="A72" s="713" t="s">
        <v>725</v>
      </c>
      <c r="B72" s="714">
        <v>44316</v>
      </c>
      <c r="C72" s="713" t="s">
        <v>707</v>
      </c>
      <c r="D72" s="715">
        <v>132875</v>
      </c>
    </row>
    <row r="73" spans="1:4" x14ac:dyDescent="0.35">
      <c r="A73" s="713" t="s">
        <v>725</v>
      </c>
      <c r="B73" s="714">
        <v>44316</v>
      </c>
      <c r="C73" s="713" t="s">
        <v>712</v>
      </c>
      <c r="D73" s="715">
        <v>1042.56</v>
      </c>
    </row>
    <row r="74" spans="1:4" x14ac:dyDescent="0.35">
      <c r="A74" s="716" t="s">
        <v>6</v>
      </c>
      <c r="B74" s="717"/>
      <c r="C74" s="716"/>
      <c r="D74" s="718">
        <f>SUM(D66:D73)</f>
        <v>1479671.9800000002</v>
      </c>
    </row>
    <row r="75" spans="1:4" x14ac:dyDescent="0.35">
      <c r="A75" s="325"/>
      <c r="B75" s="708"/>
      <c r="C75" s="325"/>
      <c r="D75" s="709"/>
    </row>
    <row r="76" spans="1:4" x14ac:dyDescent="0.35">
      <c r="A76" s="713" t="s">
        <v>726</v>
      </c>
      <c r="B76" s="714">
        <v>44316</v>
      </c>
      <c r="C76" s="713" t="s">
        <v>712</v>
      </c>
      <c r="D76" s="715">
        <v>3578.38</v>
      </c>
    </row>
    <row r="77" spans="1:4" x14ac:dyDescent="0.35">
      <c r="A77" s="713" t="s">
        <v>726</v>
      </c>
      <c r="B77" s="714">
        <v>44316</v>
      </c>
      <c r="C77" s="713" t="s">
        <v>707</v>
      </c>
      <c r="D77" s="715">
        <v>2075470</v>
      </c>
    </row>
    <row r="78" spans="1:4" x14ac:dyDescent="0.35">
      <c r="A78" s="713" t="s">
        <v>726</v>
      </c>
      <c r="B78" s="714">
        <v>44316</v>
      </c>
      <c r="C78" s="713" t="s">
        <v>714</v>
      </c>
      <c r="D78" s="715">
        <v>599068.23</v>
      </c>
    </row>
    <row r="79" spans="1:4" x14ac:dyDescent="0.35">
      <c r="A79" s="713" t="s">
        <v>726</v>
      </c>
      <c r="B79" s="714">
        <v>44316</v>
      </c>
      <c r="C79" s="713" t="s">
        <v>713</v>
      </c>
      <c r="D79" s="715">
        <v>4890</v>
      </c>
    </row>
    <row r="80" spans="1:4" x14ac:dyDescent="0.35">
      <c r="A80" s="713" t="s">
        <v>726</v>
      </c>
      <c r="B80" s="714">
        <v>44316</v>
      </c>
      <c r="C80" s="713" t="s">
        <v>722</v>
      </c>
      <c r="D80" s="715">
        <v>-332882.21999999997</v>
      </c>
    </row>
    <row r="81" spans="1:4" x14ac:dyDescent="0.35">
      <c r="A81" s="713" t="s">
        <v>726</v>
      </c>
      <c r="B81" s="714">
        <v>44316</v>
      </c>
      <c r="C81" s="713" t="s">
        <v>710</v>
      </c>
      <c r="D81" s="715">
        <v>0</v>
      </c>
    </row>
    <row r="82" spans="1:4" x14ac:dyDescent="0.35">
      <c r="A82" s="713" t="s">
        <v>726</v>
      </c>
      <c r="B82" s="714">
        <v>44316</v>
      </c>
      <c r="C82" s="713" t="s">
        <v>709</v>
      </c>
      <c r="D82" s="715">
        <v>1151072.21</v>
      </c>
    </row>
    <row r="83" spans="1:4" x14ac:dyDescent="0.35">
      <c r="A83" s="713" t="s">
        <v>726</v>
      </c>
      <c r="B83" s="714">
        <v>44316</v>
      </c>
      <c r="C83" s="713" t="s">
        <v>719</v>
      </c>
      <c r="D83" s="715">
        <v>9341.61</v>
      </c>
    </row>
    <row r="84" spans="1:4" s="683" customFormat="1" x14ac:dyDescent="0.35">
      <c r="A84" s="716" t="s">
        <v>6</v>
      </c>
      <c r="B84" s="717"/>
      <c r="C84" s="716"/>
      <c r="D84" s="718">
        <f>SUM(D76:D83)</f>
        <v>3510538.2099999995</v>
      </c>
    </row>
    <row r="85" spans="1:4" x14ac:dyDescent="0.35">
      <c r="A85" s="713"/>
      <c r="B85" s="714"/>
      <c r="C85" s="713"/>
      <c r="D85" s="715"/>
    </row>
    <row r="86" spans="1:4" x14ac:dyDescent="0.35">
      <c r="A86" s="713" t="s">
        <v>45</v>
      </c>
      <c r="B86" s="714">
        <v>44316</v>
      </c>
      <c r="C86" s="713" t="s">
        <v>714</v>
      </c>
      <c r="D86" s="715">
        <v>17236.419999999998</v>
      </c>
    </row>
    <row r="87" spans="1:4" x14ac:dyDescent="0.35">
      <c r="A87" s="713" t="s">
        <v>45</v>
      </c>
      <c r="B87" s="714">
        <v>44316</v>
      </c>
      <c r="C87" s="713" t="s">
        <v>712</v>
      </c>
      <c r="D87" s="715">
        <v>290</v>
      </c>
    </row>
    <row r="88" spans="1:4" x14ac:dyDescent="0.35">
      <c r="A88" s="713" t="s">
        <v>45</v>
      </c>
      <c r="B88" s="714">
        <v>44316</v>
      </c>
      <c r="C88" s="713" t="s">
        <v>713</v>
      </c>
      <c r="D88" s="715">
        <v>466</v>
      </c>
    </row>
    <row r="89" spans="1:4" x14ac:dyDescent="0.35">
      <c r="A89" s="713" t="s">
        <v>45</v>
      </c>
      <c r="B89" s="714">
        <v>44316</v>
      </c>
      <c r="C89" s="713" t="s">
        <v>709</v>
      </c>
      <c r="D89" s="715">
        <v>68413.600000000006</v>
      </c>
    </row>
    <row r="90" spans="1:4" s="683" customFormat="1" x14ac:dyDescent="0.35">
      <c r="A90" s="716" t="s">
        <v>6</v>
      </c>
      <c r="B90" s="717"/>
      <c r="C90" s="716"/>
      <c r="D90" s="718">
        <f>SUM(D86:D89)</f>
        <v>86406.02</v>
      </c>
    </row>
    <row r="91" spans="1:4" x14ac:dyDescent="0.35">
      <c r="A91" s="325"/>
      <c r="B91" s="708"/>
      <c r="C91" s="325"/>
      <c r="D91" s="709"/>
    </row>
    <row r="92" spans="1:4" x14ac:dyDescent="0.35">
      <c r="A92" s="713" t="s">
        <v>727</v>
      </c>
      <c r="B92" s="714">
        <v>44316</v>
      </c>
      <c r="C92" s="713" t="s">
        <v>713</v>
      </c>
      <c r="D92" s="715">
        <v>11</v>
      </c>
    </row>
    <row r="93" spans="1:4" x14ac:dyDescent="0.35">
      <c r="A93" s="713" t="s">
        <v>727</v>
      </c>
      <c r="B93" s="714">
        <v>44316</v>
      </c>
      <c r="C93" s="713" t="s">
        <v>707</v>
      </c>
      <c r="D93" s="715">
        <v>36059</v>
      </c>
    </row>
    <row r="94" spans="1:4" x14ac:dyDescent="0.35">
      <c r="A94" s="713" t="s">
        <v>727</v>
      </c>
      <c r="B94" s="714">
        <v>44316</v>
      </c>
      <c r="C94" s="713" t="s">
        <v>714</v>
      </c>
      <c r="D94" s="715">
        <v>1972.55</v>
      </c>
    </row>
    <row r="95" spans="1:4" x14ac:dyDescent="0.35">
      <c r="A95" s="716" t="s">
        <v>6</v>
      </c>
      <c r="B95" s="717"/>
      <c r="C95" s="716"/>
      <c r="D95" s="718">
        <f>SUM(D92:D94)</f>
        <v>38042.550000000003</v>
      </c>
    </row>
    <row r="96" spans="1:4" x14ac:dyDescent="0.35">
      <c r="A96" s="325"/>
      <c r="B96" s="708"/>
      <c r="C96" s="325"/>
      <c r="D96" s="709"/>
    </row>
    <row r="97" spans="1:4" x14ac:dyDescent="0.35">
      <c r="A97" s="713" t="s">
        <v>728</v>
      </c>
      <c r="B97" s="714">
        <v>44316</v>
      </c>
      <c r="C97" s="713" t="s">
        <v>718</v>
      </c>
      <c r="D97" s="715">
        <v>-30044</v>
      </c>
    </row>
    <row r="98" spans="1:4" x14ac:dyDescent="0.35">
      <c r="A98" s="713" t="s">
        <v>728</v>
      </c>
      <c r="B98" s="714">
        <v>44316</v>
      </c>
      <c r="C98" s="713" t="s">
        <v>714</v>
      </c>
      <c r="D98" s="715">
        <v>165149.78</v>
      </c>
    </row>
    <row r="99" spans="1:4" x14ac:dyDescent="0.35">
      <c r="A99" s="713" t="s">
        <v>728</v>
      </c>
      <c r="B99" s="714">
        <v>44316</v>
      </c>
      <c r="C99" s="713" t="s">
        <v>712</v>
      </c>
      <c r="D99" s="715">
        <v>800.6</v>
      </c>
    </row>
    <row r="100" spans="1:4" x14ac:dyDescent="0.35">
      <c r="A100" s="713" t="s">
        <v>728</v>
      </c>
      <c r="B100" s="714">
        <v>44316</v>
      </c>
      <c r="C100" s="713" t="s">
        <v>719</v>
      </c>
      <c r="D100" s="715">
        <v>4912.32</v>
      </c>
    </row>
    <row r="101" spans="1:4" x14ac:dyDescent="0.35">
      <c r="A101" s="713" t="s">
        <v>728</v>
      </c>
      <c r="B101" s="714">
        <v>44316</v>
      </c>
      <c r="C101" s="713" t="s">
        <v>707</v>
      </c>
      <c r="D101" s="715">
        <v>885352</v>
      </c>
    </row>
    <row r="102" spans="1:4" x14ac:dyDescent="0.35">
      <c r="A102" s="713" t="s">
        <v>728</v>
      </c>
      <c r="B102" s="714">
        <v>44316</v>
      </c>
      <c r="C102" s="713" t="s">
        <v>713</v>
      </c>
      <c r="D102" s="715">
        <v>1061.5</v>
      </c>
    </row>
    <row r="103" spans="1:4" x14ac:dyDescent="0.35">
      <c r="A103" s="713" t="s">
        <v>728</v>
      </c>
      <c r="B103" s="714">
        <v>44316</v>
      </c>
      <c r="C103" s="713" t="s">
        <v>709</v>
      </c>
      <c r="D103" s="715">
        <v>248582.89</v>
      </c>
    </row>
    <row r="104" spans="1:4" x14ac:dyDescent="0.35">
      <c r="A104" s="716" t="s">
        <v>6</v>
      </c>
      <c r="B104" s="717"/>
      <c r="C104" s="716"/>
      <c r="D104" s="718">
        <f>SUM(D97:D103)</f>
        <v>1275815.0899999999</v>
      </c>
    </row>
    <row r="105" spans="1:4" x14ac:dyDescent="0.35">
      <c r="A105" s="325"/>
      <c r="B105" s="708"/>
      <c r="C105" s="325"/>
      <c r="D105" s="709"/>
    </row>
    <row r="106" spans="1:4" x14ac:dyDescent="0.35">
      <c r="A106" s="713" t="s">
        <v>729</v>
      </c>
      <c r="B106" s="714">
        <v>44316</v>
      </c>
      <c r="C106" s="713" t="s">
        <v>714</v>
      </c>
      <c r="D106" s="715">
        <v>33397.19</v>
      </c>
    </row>
    <row r="107" spans="1:4" x14ac:dyDescent="0.35">
      <c r="A107" s="713" t="s">
        <v>729</v>
      </c>
      <c r="B107" s="714">
        <v>44316</v>
      </c>
      <c r="C107" s="713" t="s">
        <v>707</v>
      </c>
      <c r="D107" s="715">
        <v>208113</v>
      </c>
    </row>
    <row r="108" spans="1:4" x14ac:dyDescent="0.35">
      <c r="A108" s="713" t="s">
        <v>729</v>
      </c>
      <c r="B108" s="714">
        <v>44316</v>
      </c>
      <c r="C108" s="713" t="s">
        <v>713</v>
      </c>
      <c r="D108" s="715">
        <v>7.5</v>
      </c>
    </row>
    <row r="109" spans="1:4" x14ac:dyDescent="0.35">
      <c r="A109" s="713" t="s">
        <v>729</v>
      </c>
      <c r="B109" s="714">
        <v>44316</v>
      </c>
      <c r="C109" s="713" t="s">
        <v>712</v>
      </c>
      <c r="D109" s="715">
        <v>3123.49</v>
      </c>
    </row>
    <row r="110" spans="1:4" x14ac:dyDescent="0.35">
      <c r="A110" s="716" t="s">
        <v>6</v>
      </c>
      <c r="B110" s="717"/>
      <c r="C110" s="716"/>
      <c r="D110" s="718">
        <f>SUM(D106:D109)</f>
        <v>244641.18</v>
      </c>
    </row>
    <row r="111" spans="1:4" x14ac:dyDescent="0.35">
      <c r="A111" s="713"/>
      <c r="B111" s="714"/>
      <c r="C111" s="713"/>
      <c r="D111" s="715"/>
    </row>
    <row r="112" spans="1:4" x14ac:dyDescent="0.35">
      <c r="A112" s="713" t="s">
        <v>730</v>
      </c>
      <c r="B112" s="714">
        <v>44316</v>
      </c>
      <c r="C112" s="713" t="s">
        <v>714</v>
      </c>
      <c r="D112" s="715">
        <v>229174.75</v>
      </c>
    </row>
    <row r="113" spans="1:4" x14ac:dyDescent="0.35">
      <c r="A113" s="713" t="s">
        <v>730</v>
      </c>
      <c r="B113" s="714">
        <v>44316</v>
      </c>
      <c r="C113" s="713" t="s">
        <v>722</v>
      </c>
      <c r="D113" s="715">
        <v>-139764.06</v>
      </c>
    </row>
    <row r="114" spans="1:4" x14ac:dyDescent="0.35">
      <c r="A114" s="713" t="s">
        <v>730</v>
      </c>
      <c r="B114" s="714">
        <v>44316</v>
      </c>
      <c r="C114" s="713" t="s">
        <v>718</v>
      </c>
      <c r="D114" s="715">
        <v>-221095</v>
      </c>
    </row>
    <row r="115" spans="1:4" x14ac:dyDescent="0.35">
      <c r="A115" s="713" t="s">
        <v>730</v>
      </c>
      <c r="B115" s="714">
        <v>44316</v>
      </c>
      <c r="C115" s="713" t="s">
        <v>707</v>
      </c>
      <c r="D115" s="715">
        <v>1210880</v>
      </c>
    </row>
    <row r="116" spans="1:4" x14ac:dyDescent="0.35">
      <c r="A116" s="713" t="s">
        <v>730</v>
      </c>
      <c r="B116" s="714">
        <v>44316</v>
      </c>
      <c r="C116" s="713" t="s">
        <v>719</v>
      </c>
      <c r="D116" s="715">
        <v>23349.39</v>
      </c>
    </row>
    <row r="117" spans="1:4" x14ac:dyDescent="0.35">
      <c r="A117" s="713" t="s">
        <v>730</v>
      </c>
      <c r="B117" s="714">
        <v>44316</v>
      </c>
      <c r="C117" s="713" t="s">
        <v>712</v>
      </c>
      <c r="D117" s="715">
        <v>270</v>
      </c>
    </row>
    <row r="118" spans="1:4" x14ac:dyDescent="0.35">
      <c r="A118" s="713" t="s">
        <v>730</v>
      </c>
      <c r="B118" s="714">
        <v>44316</v>
      </c>
      <c r="C118" s="713" t="s">
        <v>713</v>
      </c>
      <c r="D118" s="715">
        <v>3547.5</v>
      </c>
    </row>
    <row r="119" spans="1:4" x14ac:dyDescent="0.35">
      <c r="A119" s="713" t="s">
        <v>730</v>
      </c>
      <c r="B119" s="714">
        <v>44316</v>
      </c>
      <c r="C119" s="713" t="s">
        <v>709</v>
      </c>
      <c r="D119" s="715">
        <v>721517.21</v>
      </c>
    </row>
    <row r="120" spans="1:4" x14ac:dyDescent="0.35">
      <c r="A120" s="713" t="s">
        <v>730</v>
      </c>
      <c r="B120" s="714">
        <v>44316</v>
      </c>
      <c r="C120" s="713" t="s">
        <v>710</v>
      </c>
      <c r="D120" s="715">
        <v>0</v>
      </c>
    </row>
    <row r="121" spans="1:4" x14ac:dyDescent="0.35">
      <c r="A121" s="716" t="s">
        <v>6</v>
      </c>
      <c r="B121" s="717"/>
      <c r="C121" s="716"/>
      <c r="D121" s="718">
        <f>SUM(D112:D120)</f>
        <v>1827879.7899999998</v>
      </c>
    </row>
    <row r="122" spans="1:4" x14ac:dyDescent="0.35">
      <c r="A122" s="325"/>
      <c r="B122" s="708"/>
      <c r="C122" s="325"/>
      <c r="D122" s="709"/>
    </row>
    <row r="123" spans="1:4" x14ac:dyDescent="0.35">
      <c r="A123" s="713" t="s">
        <v>731</v>
      </c>
      <c r="B123" s="714">
        <v>44316</v>
      </c>
      <c r="C123" s="713" t="s">
        <v>714</v>
      </c>
      <c r="D123" s="715">
        <v>754208.41</v>
      </c>
    </row>
    <row r="124" spans="1:4" x14ac:dyDescent="0.35">
      <c r="A124" s="713" t="s">
        <v>731</v>
      </c>
      <c r="B124" s="714">
        <v>44316</v>
      </c>
      <c r="C124" s="713" t="s">
        <v>712</v>
      </c>
      <c r="D124" s="715">
        <v>1004.03</v>
      </c>
    </row>
    <row r="125" spans="1:4" x14ac:dyDescent="0.35">
      <c r="A125" s="713" t="s">
        <v>731</v>
      </c>
      <c r="B125" s="714">
        <v>44316</v>
      </c>
      <c r="C125" s="713" t="s">
        <v>718</v>
      </c>
      <c r="D125" s="715">
        <v>-96122</v>
      </c>
    </row>
    <row r="126" spans="1:4" x14ac:dyDescent="0.35">
      <c r="A126" s="713" t="s">
        <v>731</v>
      </c>
      <c r="B126" s="714">
        <v>44316</v>
      </c>
      <c r="C126" s="713" t="s">
        <v>707</v>
      </c>
      <c r="D126" s="715">
        <v>6985768.3200000003</v>
      </c>
    </row>
    <row r="127" spans="1:4" x14ac:dyDescent="0.35">
      <c r="A127" s="713" t="s">
        <v>731</v>
      </c>
      <c r="B127" s="714">
        <v>44316</v>
      </c>
      <c r="C127" s="713" t="s">
        <v>710</v>
      </c>
      <c r="D127" s="715">
        <v>6892.44</v>
      </c>
    </row>
    <row r="128" spans="1:4" x14ac:dyDescent="0.35">
      <c r="A128" s="713" t="s">
        <v>731</v>
      </c>
      <c r="B128" s="714">
        <v>44316</v>
      </c>
      <c r="C128" s="713" t="s">
        <v>709</v>
      </c>
      <c r="D128" s="715">
        <v>128354.19</v>
      </c>
    </row>
    <row r="129" spans="1:4" x14ac:dyDescent="0.35">
      <c r="A129" s="713" t="s">
        <v>731</v>
      </c>
      <c r="B129" s="714">
        <v>44316</v>
      </c>
      <c r="C129" s="713" t="s">
        <v>713</v>
      </c>
      <c r="D129" s="715">
        <v>10816.5</v>
      </c>
    </row>
    <row r="130" spans="1:4" x14ac:dyDescent="0.35">
      <c r="A130" s="716" t="s">
        <v>6</v>
      </c>
      <c r="B130" s="717"/>
      <c r="C130" s="716"/>
      <c r="D130" s="718">
        <f>SUM(D123:D129)</f>
        <v>7790921.8900000015</v>
      </c>
    </row>
    <row r="131" spans="1:4" x14ac:dyDescent="0.35">
      <c r="A131" s="713"/>
      <c r="B131" s="714"/>
      <c r="C131" s="713"/>
      <c r="D131" s="715"/>
    </row>
    <row r="132" spans="1:4" x14ac:dyDescent="0.35">
      <c r="A132" s="713" t="s">
        <v>732</v>
      </c>
      <c r="B132" s="714">
        <v>44316</v>
      </c>
      <c r="C132" s="713" t="s">
        <v>714</v>
      </c>
      <c r="D132" s="715">
        <v>65657.56</v>
      </c>
    </row>
    <row r="133" spans="1:4" x14ac:dyDescent="0.35">
      <c r="A133" s="713" t="s">
        <v>732</v>
      </c>
      <c r="B133" s="714">
        <v>44316</v>
      </c>
      <c r="C133" s="713" t="s">
        <v>713</v>
      </c>
      <c r="D133" s="715">
        <v>490.5</v>
      </c>
    </row>
    <row r="134" spans="1:4" x14ac:dyDescent="0.35">
      <c r="A134" s="713" t="s">
        <v>732</v>
      </c>
      <c r="B134" s="714">
        <v>44316</v>
      </c>
      <c r="C134" s="713" t="s">
        <v>709</v>
      </c>
      <c r="D134" s="715">
        <v>43935.08</v>
      </c>
    </row>
    <row r="135" spans="1:4" x14ac:dyDescent="0.35">
      <c r="A135" s="713" t="s">
        <v>732</v>
      </c>
      <c r="B135" s="714">
        <v>44316</v>
      </c>
      <c r="C135" s="713" t="s">
        <v>712</v>
      </c>
      <c r="D135" s="715">
        <v>1680.6</v>
      </c>
    </row>
    <row r="136" spans="1:4" x14ac:dyDescent="0.35">
      <c r="A136" s="713" t="s">
        <v>732</v>
      </c>
      <c r="B136" s="714">
        <v>44316</v>
      </c>
      <c r="C136" s="713" t="s">
        <v>707</v>
      </c>
      <c r="D136" s="715">
        <v>363030</v>
      </c>
    </row>
    <row r="137" spans="1:4" x14ac:dyDescent="0.35">
      <c r="A137" s="716" t="s">
        <v>6</v>
      </c>
      <c r="B137" s="717"/>
      <c r="C137" s="716"/>
      <c r="D137" s="718">
        <f>SUM(D132:D136)</f>
        <v>474793.74</v>
      </c>
    </row>
    <row r="138" spans="1:4" x14ac:dyDescent="0.35">
      <c r="A138" s="325"/>
      <c r="B138" s="708"/>
      <c r="C138" s="325"/>
      <c r="D138" s="709"/>
    </row>
    <row r="139" spans="1:4" x14ac:dyDescent="0.35">
      <c r="A139" s="713" t="s">
        <v>480</v>
      </c>
      <c r="B139" s="714">
        <v>44316</v>
      </c>
      <c r="C139" s="713" t="s">
        <v>709</v>
      </c>
      <c r="D139" s="715">
        <v>11324.16</v>
      </c>
    </row>
    <row r="140" spans="1:4" x14ac:dyDescent="0.35">
      <c r="A140" s="713" t="s">
        <v>480</v>
      </c>
      <c r="B140" s="714">
        <v>44316</v>
      </c>
      <c r="C140" s="713" t="s">
        <v>714</v>
      </c>
      <c r="D140" s="715">
        <v>5462.37</v>
      </c>
    </row>
    <row r="141" spans="1:4" x14ac:dyDescent="0.35">
      <c r="A141" s="716" t="s">
        <v>6</v>
      </c>
      <c r="B141" s="717"/>
      <c r="C141" s="716"/>
      <c r="D141" s="718">
        <f>SUM(D139:D140)</f>
        <v>16786.53</v>
      </c>
    </row>
    <row r="142" spans="1:4" x14ac:dyDescent="0.35">
      <c r="A142" s="325"/>
      <c r="B142" s="708"/>
      <c r="C142" s="325"/>
      <c r="D142" s="709"/>
    </row>
    <row r="143" spans="1:4" x14ac:dyDescent="0.35">
      <c r="A143" s="713" t="s">
        <v>512</v>
      </c>
      <c r="B143" s="714">
        <v>44316</v>
      </c>
      <c r="C143" s="713" t="s">
        <v>714</v>
      </c>
      <c r="D143" s="715">
        <v>1700.51</v>
      </c>
    </row>
    <row r="144" spans="1:4" x14ac:dyDescent="0.35">
      <c r="A144" s="713" t="s">
        <v>512</v>
      </c>
      <c r="B144" s="714">
        <v>44316</v>
      </c>
      <c r="C144" s="713" t="s">
        <v>719</v>
      </c>
      <c r="D144" s="715">
        <v>3340.83</v>
      </c>
    </row>
    <row r="145" spans="1:4" x14ac:dyDescent="0.35">
      <c r="A145" s="713" t="s">
        <v>512</v>
      </c>
      <c r="B145" s="714">
        <v>44316</v>
      </c>
      <c r="C145" s="713" t="s">
        <v>709</v>
      </c>
      <c r="D145" s="715">
        <v>8817.49</v>
      </c>
    </row>
    <row r="146" spans="1:4" x14ac:dyDescent="0.35">
      <c r="A146" s="713" t="s">
        <v>512</v>
      </c>
      <c r="B146" s="714">
        <v>44316</v>
      </c>
      <c r="C146" s="713" t="s">
        <v>713</v>
      </c>
      <c r="D146" s="715">
        <v>330</v>
      </c>
    </row>
    <row r="147" spans="1:4" x14ac:dyDescent="0.35">
      <c r="A147" s="716" t="s">
        <v>6</v>
      </c>
      <c r="B147" s="717"/>
      <c r="C147" s="716"/>
      <c r="D147" s="718">
        <f>SUM(D143:D146)</f>
        <v>14188.83</v>
      </c>
    </row>
    <row r="148" spans="1:4" x14ac:dyDescent="0.35">
      <c r="A148" s="325"/>
      <c r="B148" s="708"/>
      <c r="C148" s="325"/>
      <c r="D148" s="709"/>
    </row>
    <row r="149" spans="1:4" x14ac:dyDescent="0.35">
      <c r="A149" s="713" t="s">
        <v>525</v>
      </c>
      <c r="B149" s="714">
        <v>44316</v>
      </c>
      <c r="C149" s="713" t="s">
        <v>714</v>
      </c>
      <c r="D149" s="715">
        <v>1438.46</v>
      </c>
    </row>
    <row r="150" spans="1:4" x14ac:dyDescent="0.35">
      <c r="A150" s="716" t="s">
        <v>6</v>
      </c>
      <c r="B150" s="717"/>
      <c r="C150" s="716"/>
      <c r="D150" s="718">
        <f>SUM(D149)</f>
        <v>1438.46</v>
      </c>
    </row>
    <row r="151" spans="1:4" x14ac:dyDescent="0.35">
      <c r="A151" s="325"/>
      <c r="B151" s="708"/>
      <c r="C151" s="325"/>
      <c r="D151" s="709"/>
    </row>
    <row r="152" spans="1:4" x14ac:dyDescent="0.35">
      <c r="A152" s="713" t="s">
        <v>733</v>
      </c>
      <c r="B152" s="714">
        <v>44316</v>
      </c>
      <c r="C152" s="713" t="s">
        <v>707</v>
      </c>
      <c r="D152" s="715">
        <v>15396</v>
      </c>
    </row>
    <row r="153" spans="1:4" x14ac:dyDescent="0.35">
      <c r="A153" s="716" t="s">
        <v>6</v>
      </c>
      <c r="B153" s="717"/>
      <c r="C153" s="716"/>
      <c r="D153" s="718">
        <f>SUM(D152)</f>
        <v>15396</v>
      </c>
    </row>
    <row r="154" spans="1:4" x14ac:dyDescent="0.35">
      <c r="A154" s="325"/>
      <c r="B154" s="708"/>
      <c r="C154" s="325"/>
      <c r="D154" s="709"/>
    </row>
    <row r="155" spans="1:4" x14ac:dyDescent="0.35">
      <c r="A155" s="713" t="s">
        <v>481</v>
      </c>
      <c r="B155" s="714">
        <v>44316</v>
      </c>
      <c r="C155" s="713" t="s">
        <v>709</v>
      </c>
      <c r="D155" s="715">
        <v>33615.22</v>
      </c>
    </row>
    <row r="156" spans="1:4" x14ac:dyDescent="0.35">
      <c r="A156" s="716" t="s">
        <v>6</v>
      </c>
      <c r="B156" s="717"/>
      <c r="C156" s="716"/>
      <c r="D156" s="718">
        <f>SUM(D155)</f>
        <v>33615.22</v>
      </c>
    </row>
    <row r="157" spans="1:4" x14ac:dyDescent="0.35">
      <c r="A157" s="325"/>
      <c r="B157" s="708"/>
      <c r="C157" s="325"/>
      <c r="D157" s="709"/>
    </row>
    <row r="158" spans="1:4" x14ac:dyDescent="0.35">
      <c r="A158" s="713" t="s">
        <v>734</v>
      </c>
      <c r="B158" s="714">
        <v>44316</v>
      </c>
      <c r="C158" s="713" t="s">
        <v>719</v>
      </c>
      <c r="D158" s="715">
        <v>3365.98</v>
      </c>
    </row>
    <row r="159" spans="1:4" x14ac:dyDescent="0.35">
      <c r="A159" s="713" t="s">
        <v>734</v>
      </c>
      <c r="B159" s="714">
        <v>44316</v>
      </c>
      <c r="C159" s="713" t="s">
        <v>709</v>
      </c>
      <c r="D159" s="715">
        <v>17305.68</v>
      </c>
    </row>
    <row r="160" spans="1:4" x14ac:dyDescent="0.35">
      <c r="A160" s="713" t="s">
        <v>734</v>
      </c>
      <c r="B160" s="714">
        <v>44316</v>
      </c>
      <c r="C160" s="713" t="s">
        <v>714</v>
      </c>
      <c r="D160" s="715">
        <v>3230.53</v>
      </c>
    </row>
    <row r="161" spans="1:4" x14ac:dyDescent="0.35">
      <c r="A161" s="716" t="s">
        <v>6</v>
      </c>
      <c r="B161" s="717"/>
      <c r="C161" s="716"/>
      <c r="D161" s="718">
        <f>SUM(D158:D160)</f>
        <v>23902.19</v>
      </c>
    </row>
    <row r="162" spans="1:4" x14ac:dyDescent="0.35">
      <c r="A162" s="325"/>
      <c r="B162" s="708"/>
      <c r="C162" s="325"/>
      <c r="D162" s="709"/>
    </row>
    <row r="163" spans="1:4" x14ac:dyDescent="0.35">
      <c r="A163" s="713" t="s">
        <v>735</v>
      </c>
      <c r="B163" s="714">
        <v>44316</v>
      </c>
      <c r="C163" s="713" t="s">
        <v>707</v>
      </c>
      <c r="D163" s="715">
        <v>36440</v>
      </c>
    </row>
    <row r="164" spans="1:4" x14ac:dyDescent="0.35">
      <c r="A164" s="716" t="s">
        <v>6</v>
      </c>
      <c r="B164" s="717"/>
      <c r="C164" s="716"/>
      <c r="D164" s="718">
        <f>SUM(D163)</f>
        <v>36440</v>
      </c>
    </row>
    <row r="165" spans="1:4" x14ac:dyDescent="0.35">
      <c r="A165" s="713"/>
      <c r="B165" s="714"/>
      <c r="C165" s="713"/>
      <c r="D165" s="715"/>
    </row>
    <row r="166" spans="1:4" x14ac:dyDescent="0.35">
      <c r="A166" s="713" t="s">
        <v>736</v>
      </c>
      <c r="B166" s="714">
        <v>44316</v>
      </c>
      <c r="C166" s="713" t="s">
        <v>707</v>
      </c>
      <c r="D166" s="715">
        <v>859441</v>
      </c>
    </row>
    <row r="167" spans="1:4" x14ac:dyDescent="0.35">
      <c r="A167" s="713" t="s">
        <v>736</v>
      </c>
      <c r="B167" s="714">
        <v>44316</v>
      </c>
      <c r="C167" s="713" t="s">
        <v>712</v>
      </c>
      <c r="D167" s="715">
        <v>2329</v>
      </c>
    </row>
    <row r="168" spans="1:4" x14ac:dyDescent="0.35">
      <c r="A168" s="713" t="s">
        <v>736</v>
      </c>
      <c r="B168" s="714">
        <v>44316</v>
      </c>
      <c r="C168" s="713" t="s">
        <v>713</v>
      </c>
      <c r="D168" s="715">
        <v>2281</v>
      </c>
    </row>
    <row r="169" spans="1:4" x14ac:dyDescent="0.35">
      <c r="A169" s="713" t="s">
        <v>736</v>
      </c>
      <c r="B169" s="714">
        <v>44316</v>
      </c>
      <c r="C169" s="713" t="s">
        <v>709</v>
      </c>
      <c r="D169" s="715">
        <v>133808.01999999999</v>
      </c>
    </row>
    <row r="170" spans="1:4" x14ac:dyDescent="0.35">
      <c r="A170" s="713" t="s">
        <v>736</v>
      </c>
      <c r="B170" s="714">
        <v>44316</v>
      </c>
      <c r="C170" s="713" t="s">
        <v>722</v>
      </c>
      <c r="D170" s="715">
        <v>-15217.16</v>
      </c>
    </row>
    <row r="171" spans="1:4" x14ac:dyDescent="0.35">
      <c r="A171" s="713" t="s">
        <v>736</v>
      </c>
      <c r="B171" s="714">
        <v>44316</v>
      </c>
      <c r="C171" s="713" t="s">
        <v>714</v>
      </c>
      <c r="D171" s="715">
        <v>314277.90999999997</v>
      </c>
    </row>
    <row r="172" spans="1:4" x14ac:dyDescent="0.35">
      <c r="A172" s="716" t="s">
        <v>6</v>
      </c>
      <c r="B172" s="717"/>
      <c r="C172" s="716"/>
      <c r="D172" s="718">
        <f>SUM(D166:D171)</f>
        <v>1296919.77</v>
      </c>
    </row>
    <row r="173" spans="1:4" x14ac:dyDescent="0.35">
      <c r="A173" s="325"/>
      <c r="B173" s="708"/>
      <c r="C173" s="325"/>
      <c r="D173" s="709"/>
    </row>
    <row r="174" spans="1:4" x14ac:dyDescent="0.35">
      <c r="A174" s="713" t="s">
        <v>511</v>
      </c>
      <c r="B174" s="714">
        <v>44316</v>
      </c>
      <c r="C174" s="713" t="s">
        <v>714</v>
      </c>
      <c r="D174" s="715">
        <v>1690.38</v>
      </c>
    </row>
    <row r="175" spans="1:4" x14ac:dyDescent="0.35">
      <c r="A175" s="713" t="s">
        <v>511</v>
      </c>
      <c r="B175" s="714">
        <v>44316</v>
      </c>
      <c r="C175" s="713" t="s">
        <v>709</v>
      </c>
      <c r="D175" s="715">
        <v>17928.12</v>
      </c>
    </row>
    <row r="176" spans="1:4" x14ac:dyDescent="0.35">
      <c r="A176" s="716" t="s">
        <v>6</v>
      </c>
      <c r="B176" s="717"/>
      <c r="C176" s="716"/>
      <c r="D176" s="718">
        <f>SUM(D174:D175)</f>
        <v>19618.5</v>
      </c>
    </row>
    <row r="177" spans="1:4" x14ac:dyDescent="0.35">
      <c r="A177" s="325"/>
      <c r="B177" s="708"/>
      <c r="C177" s="325"/>
      <c r="D177" s="709"/>
    </row>
    <row r="178" spans="1:4" x14ac:dyDescent="0.35">
      <c r="A178" s="713" t="s">
        <v>737</v>
      </c>
      <c r="B178" s="714">
        <v>44316</v>
      </c>
      <c r="C178" s="713" t="s">
        <v>714</v>
      </c>
      <c r="D178" s="715">
        <v>30255.279999999999</v>
      </c>
    </row>
    <row r="179" spans="1:4" x14ac:dyDescent="0.35">
      <c r="A179" s="713" t="s">
        <v>737</v>
      </c>
      <c r="B179" s="714">
        <v>44316</v>
      </c>
      <c r="C179" s="713" t="s">
        <v>712</v>
      </c>
      <c r="D179" s="715">
        <v>85</v>
      </c>
    </row>
    <row r="180" spans="1:4" x14ac:dyDescent="0.35">
      <c r="A180" s="713" t="s">
        <v>737</v>
      </c>
      <c r="B180" s="714">
        <v>44316</v>
      </c>
      <c r="C180" s="713" t="s">
        <v>707</v>
      </c>
      <c r="D180" s="715">
        <v>199504</v>
      </c>
    </row>
    <row r="181" spans="1:4" x14ac:dyDescent="0.35">
      <c r="A181" s="713" t="s">
        <v>737</v>
      </c>
      <c r="B181" s="714">
        <v>44316</v>
      </c>
      <c r="C181" s="713" t="s">
        <v>713</v>
      </c>
      <c r="D181" s="715">
        <v>62.5</v>
      </c>
    </row>
    <row r="182" spans="1:4" x14ac:dyDescent="0.35">
      <c r="A182" s="716" t="s">
        <v>6</v>
      </c>
      <c r="B182" s="717"/>
      <c r="C182" s="716"/>
      <c r="D182" s="718">
        <f>SUM(D178:D181)</f>
        <v>229906.78</v>
      </c>
    </row>
    <row r="183" spans="1:4" x14ac:dyDescent="0.35">
      <c r="A183" s="325"/>
      <c r="B183" s="708"/>
      <c r="C183" s="325"/>
      <c r="D183" s="709"/>
    </row>
    <row r="184" spans="1:4" x14ac:dyDescent="0.35">
      <c r="A184" s="713" t="s">
        <v>738</v>
      </c>
      <c r="B184" s="714">
        <v>44316</v>
      </c>
      <c r="C184" s="713" t="s">
        <v>713</v>
      </c>
      <c r="D184" s="715">
        <v>16</v>
      </c>
    </row>
    <row r="185" spans="1:4" x14ac:dyDescent="0.35">
      <c r="A185" s="713" t="s">
        <v>738</v>
      </c>
      <c r="B185" s="714">
        <v>44316</v>
      </c>
      <c r="C185" s="713" t="s">
        <v>707</v>
      </c>
      <c r="D185" s="715">
        <v>126851</v>
      </c>
    </row>
    <row r="186" spans="1:4" x14ac:dyDescent="0.35">
      <c r="A186" s="713" t="s">
        <v>738</v>
      </c>
      <c r="B186" s="714">
        <v>44316</v>
      </c>
      <c r="C186" s="713" t="s">
        <v>714</v>
      </c>
      <c r="D186" s="715">
        <v>11293.93</v>
      </c>
    </row>
    <row r="187" spans="1:4" x14ac:dyDescent="0.35">
      <c r="A187" s="713" t="s">
        <v>738</v>
      </c>
      <c r="B187" s="714">
        <v>44316</v>
      </c>
      <c r="C187" s="713" t="s">
        <v>718</v>
      </c>
      <c r="D187" s="715">
        <v>-18514</v>
      </c>
    </row>
    <row r="188" spans="1:4" x14ac:dyDescent="0.35">
      <c r="A188" s="716" t="s">
        <v>6</v>
      </c>
      <c r="B188" s="717"/>
      <c r="C188" s="716"/>
      <c r="D188" s="718">
        <f>SUM(D184:D187)</f>
        <v>119646.93</v>
      </c>
    </row>
    <row r="189" spans="1:4" x14ac:dyDescent="0.35">
      <c r="A189" s="325"/>
      <c r="B189" s="708"/>
      <c r="C189" s="325"/>
      <c r="D189" s="709"/>
    </row>
    <row r="190" spans="1:4" x14ac:dyDescent="0.35">
      <c r="A190" s="713" t="s">
        <v>739</v>
      </c>
      <c r="B190" s="714">
        <v>44316</v>
      </c>
      <c r="C190" s="713" t="s">
        <v>709</v>
      </c>
      <c r="D190" s="715">
        <v>25966.07</v>
      </c>
    </row>
    <row r="191" spans="1:4" x14ac:dyDescent="0.35">
      <c r="A191" s="713" t="s">
        <v>739</v>
      </c>
      <c r="B191" s="714">
        <v>44316</v>
      </c>
      <c r="C191" s="713" t="s">
        <v>713</v>
      </c>
      <c r="D191" s="715">
        <v>911</v>
      </c>
    </row>
    <row r="192" spans="1:4" x14ac:dyDescent="0.35">
      <c r="A192" s="713" t="s">
        <v>739</v>
      </c>
      <c r="B192" s="714">
        <v>44316</v>
      </c>
      <c r="C192" s="713" t="s">
        <v>707</v>
      </c>
      <c r="D192" s="715">
        <v>142044</v>
      </c>
    </row>
    <row r="193" spans="1:4" x14ac:dyDescent="0.35">
      <c r="A193" s="713" t="s">
        <v>739</v>
      </c>
      <c r="B193" s="714">
        <v>44316</v>
      </c>
      <c r="C193" s="713" t="s">
        <v>712</v>
      </c>
      <c r="D193" s="715">
        <v>180</v>
      </c>
    </row>
    <row r="194" spans="1:4" x14ac:dyDescent="0.35">
      <c r="A194" s="713" t="s">
        <v>739</v>
      </c>
      <c r="B194" s="714">
        <v>44316</v>
      </c>
      <c r="C194" s="713" t="s">
        <v>714</v>
      </c>
      <c r="D194" s="715">
        <v>34951.96</v>
      </c>
    </row>
    <row r="195" spans="1:4" x14ac:dyDescent="0.35">
      <c r="A195" s="716" t="s">
        <v>6</v>
      </c>
      <c r="B195" s="717"/>
      <c r="C195" s="716"/>
      <c r="D195" s="718">
        <f>SUM(D190:D194)</f>
        <v>204053.03</v>
      </c>
    </row>
    <row r="196" spans="1:4" x14ac:dyDescent="0.35">
      <c r="A196" s="325"/>
      <c r="B196" s="708"/>
      <c r="C196" s="325"/>
      <c r="D196" s="709"/>
    </row>
    <row r="197" spans="1:4" x14ac:dyDescent="0.35">
      <c r="A197" s="713" t="s">
        <v>740</v>
      </c>
      <c r="B197" s="714">
        <v>44316</v>
      </c>
      <c r="C197" s="713" t="s">
        <v>714</v>
      </c>
      <c r="D197" s="715">
        <v>25682.23</v>
      </c>
    </row>
    <row r="198" spans="1:4" x14ac:dyDescent="0.35">
      <c r="A198" s="713" t="s">
        <v>740</v>
      </c>
      <c r="B198" s="714">
        <v>44316</v>
      </c>
      <c r="C198" s="713" t="s">
        <v>718</v>
      </c>
      <c r="D198" s="715">
        <v>-10727</v>
      </c>
    </row>
    <row r="199" spans="1:4" x14ac:dyDescent="0.35">
      <c r="A199" s="713" t="s">
        <v>740</v>
      </c>
      <c r="B199" s="714">
        <v>44316</v>
      </c>
      <c r="C199" s="713" t="s">
        <v>712</v>
      </c>
      <c r="D199" s="715">
        <v>600</v>
      </c>
    </row>
    <row r="200" spans="1:4" x14ac:dyDescent="0.35">
      <c r="A200" s="713" t="s">
        <v>740</v>
      </c>
      <c r="B200" s="714">
        <v>44316</v>
      </c>
      <c r="C200" s="713" t="s">
        <v>707</v>
      </c>
      <c r="D200" s="715">
        <v>158410</v>
      </c>
    </row>
    <row r="201" spans="1:4" x14ac:dyDescent="0.35">
      <c r="A201" s="713" t="s">
        <v>740</v>
      </c>
      <c r="B201" s="714">
        <v>44316</v>
      </c>
      <c r="C201" s="713" t="s">
        <v>713</v>
      </c>
      <c r="D201" s="715">
        <v>1204.5</v>
      </c>
    </row>
    <row r="202" spans="1:4" x14ac:dyDescent="0.35">
      <c r="A202" s="716" t="s">
        <v>6</v>
      </c>
      <c r="B202" s="717"/>
      <c r="C202" s="716"/>
      <c r="D202" s="718">
        <f>SUM(D197:D201)</f>
        <v>175169.73</v>
      </c>
    </row>
    <row r="203" spans="1:4" x14ac:dyDescent="0.35">
      <c r="A203" s="325"/>
      <c r="B203" s="708"/>
      <c r="C203" s="325"/>
      <c r="D203" s="709"/>
    </row>
    <row r="204" spans="1:4" x14ac:dyDescent="0.35">
      <c r="A204" s="713" t="s">
        <v>741</v>
      </c>
      <c r="B204" s="714">
        <v>44316</v>
      </c>
      <c r="C204" s="713" t="s">
        <v>709</v>
      </c>
      <c r="D204" s="715">
        <v>185632.32</v>
      </c>
    </row>
    <row r="205" spans="1:4" x14ac:dyDescent="0.35">
      <c r="A205" s="713" t="s">
        <v>741</v>
      </c>
      <c r="B205" s="714">
        <v>44316</v>
      </c>
      <c r="C205" s="713" t="s">
        <v>714</v>
      </c>
      <c r="D205" s="715">
        <v>15628.3</v>
      </c>
    </row>
    <row r="206" spans="1:4" x14ac:dyDescent="0.35">
      <c r="A206" s="716" t="s">
        <v>6</v>
      </c>
      <c r="B206" s="717"/>
      <c r="C206" s="716"/>
      <c r="D206" s="718">
        <f>SUM(D204:D205)</f>
        <v>201260.62</v>
      </c>
    </row>
    <row r="207" spans="1:4" x14ac:dyDescent="0.35">
      <c r="A207" s="325"/>
      <c r="B207" s="708"/>
      <c r="C207" s="325"/>
      <c r="D207" s="709"/>
    </row>
    <row r="208" spans="1:4" x14ac:dyDescent="0.35">
      <c r="A208" s="713" t="s">
        <v>742</v>
      </c>
      <c r="B208" s="714">
        <v>44316</v>
      </c>
      <c r="C208" s="713" t="s">
        <v>718</v>
      </c>
      <c r="D208" s="715">
        <v>-158040</v>
      </c>
    </row>
    <row r="209" spans="1:4" x14ac:dyDescent="0.35">
      <c r="A209" s="713" t="s">
        <v>742</v>
      </c>
      <c r="B209" s="714">
        <v>44316</v>
      </c>
      <c r="C209" s="713" t="s">
        <v>713</v>
      </c>
      <c r="D209" s="715">
        <v>7128</v>
      </c>
    </row>
    <row r="210" spans="1:4" x14ac:dyDescent="0.35">
      <c r="A210" s="713" t="s">
        <v>742</v>
      </c>
      <c r="B210" s="714">
        <v>44316</v>
      </c>
      <c r="C210" s="713" t="s">
        <v>714</v>
      </c>
      <c r="D210" s="715">
        <v>71290.11</v>
      </c>
    </row>
    <row r="211" spans="1:4" x14ac:dyDescent="0.35">
      <c r="A211" s="713" t="s">
        <v>742</v>
      </c>
      <c r="B211" s="714">
        <v>44316</v>
      </c>
      <c r="C211" s="713" t="s">
        <v>712</v>
      </c>
      <c r="D211" s="715">
        <v>568</v>
      </c>
    </row>
    <row r="212" spans="1:4" x14ac:dyDescent="0.35">
      <c r="A212" s="713" t="s">
        <v>742</v>
      </c>
      <c r="B212" s="714">
        <v>44316</v>
      </c>
      <c r="C212" s="713" t="s">
        <v>707</v>
      </c>
      <c r="D212" s="715">
        <v>764946</v>
      </c>
    </row>
    <row r="213" spans="1:4" x14ac:dyDescent="0.35">
      <c r="A213" s="716" t="s">
        <v>6</v>
      </c>
      <c r="B213" s="717"/>
      <c r="C213" s="716"/>
      <c r="D213" s="718">
        <f>SUM(D208:D212)</f>
        <v>685892.11</v>
      </c>
    </row>
    <row r="214" spans="1:4" x14ac:dyDescent="0.35">
      <c r="A214" s="325"/>
      <c r="B214" s="708"/>
      <c r="C214" s="325"/>
      <c r="D214" s="709"/>
    </row>
    <row r="215" spans="1:4" x14ac:dyDescent="0.35">
      <c r="A215" s="713" t="s">
        <v>743</v>
      </c>
      <c r="B215" s="714">
        <v>44316</v>
      </c>
      <c r="C215" s="713" t="s">
        <v>714</v>
      </c>
      <c r="D215" s="715">
        <v>15280.35</v>
      </c>
    </row>
    <row r="216" spans="1:4" x14ac:dyDescent="0.35">
      <c r="A216" s="713" t="s">
        <v>743</v>
      </c>
      <c r="B216" s="714">
        <v>44316</v>
      </c>
      <c r="C216" s="713" t="s">
        <v>712</v>
      </c>
      <c r="D216" s="715">
        <v>92.5</v>
      </c>
    </row>
    <row r="217" spans="1:4" x14ac:dyDescent="0.35">
      <c r="A217" s="713" t="s">
        <v>743</v>
      </c>
      <c r="B217" s="714">
        <v>44316</v>
      </c>
      <c r="C217" s="713" t="s">
        <v>707</v>
      </c>
      <c r="D217" s="715">
        <v>391692</v>
      </c>
    </row>
    <row r="218" spans="1:4" x14ac:dyDescent="0.35">
      <c r="A218" s="713" t="s">
        <v>743</v>
      </c>
      <c r="B218" s="714">
        <v>44316</v>
      </c>
      <c r="C218" s="713" t="s">
        <v>709</v>
      </c>
      <c r="D218" s="715">
        <v>19528.02</v>
      </c>
    </row>
    <row r="219" spans="1:4" x14ac:dyDescent="0.35">
      <c r="A219" s="713" t="s">
        <v>743</v>
      </c>
      <c r="B219" s="714">
        <v>44316</v>
      </c>
      <c r="C219" s="713" t="s">
        <v>713</v>
      </c>
      <c r="D219" s="715">
        <v>801.5</v>
      </c>
    </row>
    <row r="220" spans="1:4" x14ac:dyDescent="0.35">
      <c r="A220" s="716" t="s">
        <v>6</v>
      </c>
      <c r="B220" s="717"/>
      <c r="C220" s="716"/>
      <c r="D220" s="718">
        <f>SUM(D215:D219)</f>
        <v>427394.37</v>
      </c>
    </row>
    <row r="221" spans="1:4" x14ac:dyDescent="0.35">
      <c r="A221" s="325"/>
      <c r="B221" s="708"/>
      <c r="C221" s="325"/>
      <c r="D221" s="709"/>
    </row>
    <row r="222" spans="1:4" x14ac:dyDescent="0.35">
      <c r="A222" s="713" t="s">
        <v>526</v>
      </c>
      <c r="B222" s="714">
        <v>44316</v>
      </c>
      <c r="C222" s="713" t="s">
        <v>713</v>
      </c>
      <c r="D222" s="715">
        <v>469.5</v>
      </c>
    </row>
    <row r="223" spans="1:4" x14ac:dyDescent="0.35">
      <c r="A223" s="713" t="s">
        <v>526</v>
      </c>
      <c r="B223" s="714">
        <v>44316</v>
      </c>
      <c r="C223" s="713" t="s">
        <v>707</v>
      </c>
      <c r="D223" s="715">
        <v>756053</v>
      </c>
    </row>
    <row r="224" spans="1:4" x14ac:dyDescent="0.35">
      <c r="A224" s="713" t="s">
        <v>526</v>
      </c>
      <c r="B224" s="714">
        <v>44316</v>
      </c>
      <c r="C224" s="713" t="s">
        <v>714</v>
      </c>
      <c r="D224" s="715">
        <v>106409.47</v>
      </c>
    </row>
    <row r="225" spans="1:4" x14ac:dyDescent="0.35">
      <c r="A225" s="716" t="s">
        <v>6</v>
      </c>
      <c r="B225" s="717"/>
      <c r="C225" s="716"/>
      <c r="D225" s="718">
        <f>SUM(D222:D224)</f>
        <v>862931.97</v>
      </c>
    </row>
    <row r="226" spans="1:4" x14ac:dyDescent="0.35">
      <c r="A226" s="325"/>
      <c r="B226" s="708"/>
      <c r="C226" s="325"/>
      <c r="D226" s="709"/>
    </row>
    <row r="227" spans="1:4" x14ac:dyDescent="0.35">
      <c r="A227" s="713" t="s">
        <v>744</v>
      </c>
      <c r="B227" s="714">
        <v>44316</v>
      </c>
      <c r="C227" s="713" t="s">
        <v>707</v>
      </c>
      <c r="D227" s="715">
        <v>29799</v>
      </c>
    </row>
    <row r="228" spans="1:4" x14ac:dyDescent="0.35">
      <c r="A228" s="713" t="s">
        <v>744</v>
      </c>
      <c r="B228" s="714">
        <v>44316</v>
      </c>
      <c r="C228" s="713" t="s">
        <v>712</v>
      </c>
      <c r="D228" s="715">
        <v>60</v>
      </c>
    </row>
    <row r="229" spans="1:4" x14ac:dyDescent="0.35">
      <c r="A229" s="713" t="s">
        <v>744</v>
      </c>
      <c r="B229" s="714">
        <v>44316</v>
      </c>
      <c r="C229" s="713" t="s">
        <v>714</v>
      </c>
      <c r="D229" s="715">
        <v>6809.66</v>
      </c>
    </row>
    <row r="230" spans="1:4" x14ac:dyDescent="0.35">
      <c r="A230" s="713" t="s">
        <v>744</v>
      </c>
      <c r="B230" s="714">
        <v>44316</v>
      </c>
      <c r="C230" s="713" t="s">
        <v>713</v>
      </c>
      <c r="D230" s="715">
        <v>1152</v>
      </c>
    </row>
    <row r="231" spans="1:4" x14ac:dyDescent="0.35">
      <c r="A231" s="713" t="s">
        <v>744</v>
      </c>
      <c r="B231" s="714">
        <v>44316</v>
      </c>
      <c r="C231" s="713" t="s">
        <v>709</v>
      </c>
      <c r="D231" s="715">
        <v>139306.78</v>
      </c>
    </row>
    <row r="232" spans="1:4" x14ac:dyDescent="0.35">
      <c r="A232" s="716" t="s">
        <v>6</v>
      </c>
      <c r="B232" s="717"/>
      <c r="C232" s="716"/>
      <c r="D232" s="718">
        <f>SUM(D227:D231)</f>
        <v>177127.44</v>
      </c>
    </row>
    <row r="233" spans="1:4" x14ac:dyDescent="0.35">
      <c r="A233" s="325"/>
      <c r="B233" s="708"/>
      <c r="C233" s="325"/>
      <c r="D233" s="709"/>
    </row>
    <row r="234" spans="1:4" x14ac:dyDescent="0.35">
      <c r="A234" s="713" t="s">
        <v>745</v>
      </c>
      <c r="B234" s="714">
        <v>44316</v>
      </c>
      <c r="C234" s="713" t="s">
        <v>718</v>
      </c>
      <c r="D234" s="715">
        <v>-312405</v>
      </c>
    </row>
    <row r="235" spans="1:4" x14ac:dyDescent="0.35">
      <c r="A235" s="713" t="s">
        <v>745</v>
      </c>
      <c r="B235" s="714">
        <v>44316</v>
      </c>
      <c r="C235" s="713" t="s">
        <v>722</v>
      </c>
      <c r="D235" s="715">
        <v>-61084.45</v>
      </c>
    </row>
    <row r="236" spans="1:4" x14ac:dyDescent="0.35">
      <c r="A236" s="713" t="s">
        <v>745</v>
      </c>
      <c r="B236" s="714">
        <v>44316</v>
      </c>
      <c r="C236" s="713" t="s">
        <v>713</v>
      </c>
      <c r="D236" s="715">
        <v>4791.5</v>
      </c>
    </row>
    <row r="237" spans="1:4" x14ac:dyDescent="0.35">
      <c r="A237" s="713" t="s">
        <v>745</v>
      </c>
      <c r="B237" s="714">
        <v>44316</v>
      </c>
      <c r="C237" s="713" t="s">
        <v>709</v>
      </c>
      <c r="D237" s="715">
        <v>242351.19</v>
      </c>
    </row>
    <row r="238" spans="1:4" x14ac:dyDescent="0.35">
      <c r="A238" s="713" t="s">
        <v>745</v>
      </c>
      <c r="B238" s="714">
        <v>44316</v>
      </c>
      <c r="C238" s="713" t="s">
        <v>710</v>
      </c>
      <c r="D238" s="715">
        <v>27087.15</v>
      </c>
    </row>
    <row r="239" spans="1:4" x14ac:dyDescent="0.35">
      <c r="A239" s="713" t="s">
        <v>745</v>
      </c>
      <c r="B239" s="714">
        <v>44316</v>
      </c>
      <c r="C239" s="713" t="s">
        <v>714</v>
      </c>
      <c r="D239" s="715">
        <v>128201.72</v>
      </c>
    </row>
    <row r="240" spans="1:4" x14ac:dyDescent="0.35">
      <c r="A240" s="713" t="s">
        <v>745</v>
      </c>
      <c r="B240" s="714">
        <v>44316</v>
      </c>
      <c r="C240" s="713" t="s">
        <v>712</v>
      </c>
      <c r="D240" s="715">
        <v>335</v>
      </c>
    </row>
    <row r="241" spans="1:4" x14ac:dyDescent="0.35">
      <c r="A241" s="713" t="s">
        <v>745</v>
      </c>
      <c r="B241" s="714">
        <v>44316</v>
      </c>
      <c r="C241" s="713" t="s">
        <v>707</v>
      </c>
      <c r="D241" s="715">
        <v>899032</v>
      </c>
    </row>
    <row r="242" spans="1:4" x14ac:dyDescent="0.35">
      <c r="A242" s="716" t="s">
        <v>6</v>
      </c>
      <c r="B242" s="717"/>
      <c r="C242" s="716"/>
      <c r="D242" s="718">
        <f>SUM(D234:D241)</f>
        <v>928309.11</v>
      </c>
    </row>
    <row r="243" spans="1:4" x14ac:dyDescent="0.35">
      <c r="A243" s="325"/>
      <c r="B243" s="708"/>
      <c r="C243" s="325"/>
      <c r="D243" s="709"/>
    </row>
    <row r="244" spans="1:4" x14ac:dyDescent="0.35">
      <c r="A244" s="713" t="s">
        <v>746</v>
      </c>
      <c r="B244" s="714">
        <v>44316</v>
      </c>
      <c r="C244" s="713" t="s">
        <v>713</v>
      </c>
      <c r="D244" s="715">
        <v>10</v>
      </c>
    </row>
    <row r="245" spans="1:4" x14ac:dyDescent="0.35">
      <c r="A245" s="713" t="s">
        <v>746</v>
      </c>
      <c r="B245" s="714">
        <v>44316</v>
      </c>
      <c r="C245" s="713" t="s">
        <v>709</v>
      </c>
      <c r="D245" s="715">
        <v>26184.86</v>
      </c>
    </row>
    <row r="246" spans="1:4" x14ac:dyDescent="0.35">
      <c r="A246" s="713" t="s">
        <v>746</v>
      </c>
      <c r="B246" s="714">
        <v>44316</v>
      </c>
      <c r="C246" s="713" t="s">
        <v>707</v>
      </c>
      <c r="D246" s="715">
        <v>105476</v>
      </c>
    </row>
    <row r="247" spans="1:4" x14ac:dyDescent="0.35">
      <c r="A247" s="713" t="s">
        <v>746</v>
      </c>
      <c r="B247" s="714">
        <v>44316</v>
      </c>
      <c r="C247" s="713" t="s">
        <v>718</v>
      </c>
      <c r="D247" s="715">
        <v>-52738</v>
      </c>
    </row>
    <row r="248" spans="1:4" x14ac:dyDescent="0.35">
      <c r="A248" s="713" t="s">
        <v>746</v>
      </c>
      <c r="B248" s="714">
        <v>44316</v>
      </c>
      <c r="C248" s="713" t="s">
        <v>714</v>
      </c>
      <c r="D248" s="715">
        <v>5727.82</v>
      </c>
    </row>
    <row r="249" spans="1:4" x14ac:dyDescent="0.35">
      <c r="A249" s="716" t="s">
        <v>6</v>
      </c>
      <c r="B249" s="717"/>
      <c r="C249" s="716"/>
      <c r="D249" s="718">
        <f>SUM(D244:D248)</f>
        <v>84660.68</v>
      </c>
    </row>
    <row r="250" spans="1:4" x14ac:dyDescent="0.35">
      <c r="A250" s="325"/>
      <c r="B250" s="708"/>
      <c r="C250" s="325"/>
      <c r="D250" s="709"/>
    </row>
    <row r="251" spans="1:4" x14ac:dyDescent="0.35">
      <c r="A251" s="713" t="s">
        <v>747</v>
      </c>
      <c r="B251" s="714">
        <v>44316</v>
      </c>
      <c r="C251" s="713" t="s">
        <v>709</v>
      </c>
      <c r="D251" s="715">
        <v>168138.76</v>
      </c>
    </row>
    <row r="252" spans="1:4" x14ac:dyDescent="0.35">
      <c r="A252" s="713" t="s">
        <v>747</v>
      </c>
      <c r="B252" s="714">
        <v>44316</v>
      </c>
      <c r="C252" s="713" t="s">
        <v>707</v>
      </c>
      <c r="D252" s="715">
        <v>9791</v>
      </c>
    </row>
    <row r="253" spans="1:4" x14ac:dyDescent="0.35">
      <c r="A253" s="716" t="s">
        <v>6</v>
      </c>
      <c r="B253" s="717"/>
      <c r="C253" s="716"/>
      <c r="D253" s="718">
        <f>SUM(D251:D252)</f>
        <v>177929.76</v>
      </c>
    </row>
    <row r="254" spans="1:4" x14ac:dyDescent="0.35">
      <c r="A254" s="325"/>
      <c r="B254" s="708"/>
      <c r="C254" s="325"/>
      <c r="D254" s="709"/>
    </row>
    <row r="255" spans="1:4" x14ac:dyDescent="0.35">
      <c r="A255" s="713" t="s">
        <v>748</v>
      </c>
      <c r="B255" s="714">
        <v>44316</v>
      </c>
      <c r="C255" s="713" t="s">
        <v>709</v>
      </c>
      <c r="D255" s="715">
        <v>311361.74</v>
      </c>
    </row>
    <row r="256" spans="1:4" x14ac:dyDescent="0.35">
      <c r="A256" s="713" t="s">
        <v>748</v>
      </c>
      <c r="B256" s="714">
        <v>44316</v>
      </c>
      <c r="C256" s="713" t="s">
        <v>713</v>
      </c>
      <c r="D256" s="715">
        <v>792</v>
      </c>
    </row>
    <row r="257" spans="1:4" x14ac:dyDescent="0.35">
      <c r="A257" s="713" t="s">
        <v>748</v>
      </c>
      <c r="B257" s="714">
        <v>44316</v>
      </c>
      <c r="C257" s="713" t="s">
        <v>722</v>
      </c>
      <c r="D257" s="715">
        <v>-6529.34</v>
      </c>
    </row>
    <row r="258" spans="1:4" x14ac:dyDescent="0.35">
      <c r="A258" s="713" t="s">
        <v>748</v>
      </c>
      <c r="B258" s="714">
        <v>44316</v>
      </c>
      <c r="C258" s="713" t="s">
        <v>714</v>
      </c>
      <c r="D258" s="715">
        <v>33685.11</v>
      </c>
    </row>
    <row r="259" spans="1:4" x14ac:dyDescent="0.35">
      <c r="A259" s="716" t="s">
        <v>6</v>
      </c>
      <c r="B259" s="717"/>
      <c r="C259" s="716"/>
      <c r="D259" s="718">
        <f>SUM(D255:D258)</f>
        <v>339309.50999999995</v>
      </c>
    </row>
    <row r="260" spans="1:4" x14ac:dyDescent="0.35">
      <c r="A260" s="325"/>
      <c r="B260" s="708"/>
      <c r="C260" s="325"/>
      <c r="D260" s="709"/>
    </row>
    <row r="261" spans="1:4" x14ac:dyDescent="0.35">
      <c r="A261" s="713" t="s">
        <v>749</v>
      </c>
      <c r="B261" s="714">
        <v>44316</v>
      </c>
      <c r="C261" s="713" t="s">
        <v>718</v>
      </c>
      <c r="D261" s="715">
        <v>-11455</v>
      </c>
    </row>
    <row r="262" spans="1:4" x14ac:dyDescent="0.35">
      <c r="A262" s="713" t="s">
        <v>749</v>
      </c>
      <c r="B262" s="714">
        <v>44316</v>
      </c>
      <c r="C262" s="713" t="s">
        <v>722</v>
      </c>
      <c r="D262" s="715">
        <v>-32770.39</v>
      </c>
    </row>
    <row r="263" spans="1:4" x14ac:dyDescent="0.35">
      <c r="A263" s="713" t="s">
        <v>749</v>
      </c>
      <c r="B263" s="714">
        <v>44316</v>
      </c>
      <c r="C263" s="713" t="s">
        <v>713</v>
      </c>
      <c r="D263" s="715">
        <v>517</v>
      </c>
    </row>
    <row r="264" spans="1:4" x14ac:dyDescent="0.35">
      <c r="A264" s="713" t="s">
        <v>749</v>
      </c>
      <c r="B264" s="714">
        <v>44316</v>
      </c>
      <c r="C264" s="713" t="s">
        <v>709</v>
      </c>
      <c r="D264" s="715">
        <v>128605.69</v>
      </c>
    </row>
    <row r="265" spans="1:4" x14ac:dyDescent="0.35">
      <c r="A265" s="713" t="s">
        <v>749</v>
      </c>
      <c r="B265" s="714">
        <v>44316</v>
      </c>
      <c r="C265" s="713" t="s">
        <v>712</v>
      </c>
      <c r="D265" s="715">
        <v>210.5</v>
      </c>
    </row>
    <row r="266" spans="1:4" x14ac:dyDescent="0.35">
      <c r="A266" s="713" t="s">
        <v>749</v>
      </c>
      <c r="B266" s="714">
        <v>44316</v>
      </c>
      <c r="C266" s="713" t="s">
        <v>714</v>
      </c>
      <c r="D266" s="715">
        <v>11518.77</v>
      </c>
    </row>
    <row r="267" spans="1:4" x14ac:dyDescent="0.35">
      <c r="A267" s="713" t="s">
        <v>749</v>
      </c>
      <c r="B267" s="714">
        <v>44316</v>
      </c>
      <c r="C267" s="713" t="s">
        <v>707</v>
      </c>
      <c r="D267" s="715">
        <v>81555</v>
      </c>
    </row>
    <row r="268" spans="1:4" x14ac:dyDescent="0.35">
      <c r="A268" s="713" t="s">
        <v>749</v>
      </c>
      <c r="B268" s="714">
        <v>44316</v>
      </c>
      <c r="C268" s="713" t="s">
        <v>710</v>
      </c>
      <c r="D268" s="715">
        <v>0</v>
      </c>
    </row>
    <row r="269" spans="1:4" x14ac:dyDescent="0.35">
      <c r="A269" s="716" t="s">
        <v>6</v>
      </c>
      <c r="B269" s="717"/>
      <c r="C269" s="716"/>
      <c r="D269" s="718">
        <f>SUM(D261:D268)</f>
        <v>178181.57</v>
      </c>
    </row>
    <row r="270" spans="1:4" x14ac:dyDescent="0.35">
      <c r="A270" s="325"/>
      <c r="B270" s="708"/>
      <c r="C270" s="325"/>
      <c r="D270" s="709"/>
    </row>
    <row r="271" spans="1:4" x14ac:dyDescent="0.35">
      <c r="A271" s="713" t="s">
        <v>750</v>
      </c>
      <c r="B271" s="714">
        <v>44316</v>
      </c>
      <c r="C271" s="713" t="s">
        <v>707</v>
      </c>
      <c r="D271" s="715">
        <v>598013</v>
      </c>
    </row>
    <row r="272" spans="1:4" x14ac:dyDescent="0.35">
      <c r="A272" s="713" t="s">
        <v>750</v>
      </c>
      <c r="B272" s="714">
        <v>44316</v>
      </c>
      <c r="C272" s="713" t="s">
        <v>713</v>
      </c>
      <c r="D272" s="715">
        <v>1193</v>
      </c>
    </row>
    <row r="273" spans="1:4" x14ac:dyDescent="0.35">
      <c r="A273" s="713" t="s">
        <v>750</v>
      </c>
      <c r="B273" s="714">
        <v>44316</v>
      </c>
      <c r="C273" s="713" t="s">
        <v>709</v>
      </c>
      <c r="D273" s="715">
        <v>129108.06</v>
      </c>
    </row>
    <row r="274" spans="1:4" x14ac:dyDescent="0.35">
      <c r="A274" s="713" t="s">
        <v>750</v>
      </c>
      <c r="B274" s="714">
        <v>44316</v>
      </c>
      <c r="C274" s="713" t="s">
        <v>714</v>
      </c>
      <c r="D274" s="715">
        <v>102914.83</v>
      </c>
    </row>
    <row r="275" spans="1:4" x14ac:dyDescent="0.35">
      <c r="A275" s="716" t="s">
        <v>6</v>
      </c>
      <c r="B275" s="717"/>
      <c r="C275" s="716"/>
      <c r="D275" s="718">
        <f>SUM(D271:D274)</f>
        <v>831228.89</v>
      </c>
    </row>
    <row r="276" spans="1:4" x14ac:dyDescent="0.35">
      <c r="A276" s="713"/>
      <c r="B276" s="714"/>
      <c r="C276" s="713"/>
      <c r="D276" s="715"/>
    </row>
    <row r="277" spans="1:4" x14ac:dyDescent="0.35">
      <c r="A277" s="713" t="s">
        <v>751</v>
      </c>
      <c r="B277" s="714">
        <v>44316</v>
      </c>
      <c r="C277" s="713" t="s">
        <v>713</v>
      </c>
      <c r="D277" s="715">
        <v>3366</v>
      </c>
    </row>
    <row r="278" spans="1:4" x14ac:dyDescent="0.35">
      <c r="A278" s="713" t="s">
        <v>751</v>
      </c>
      <c r="B278" s="714">
        <v>44316</v>
      </c>
      <c r="C278" s="713" t="s">
        <v>714</v>
      </c>
      <c r="D278" s="715">
        <v>104335.74</v>
      </c>
    </row>
    <row r="279" spans="1:4" x14ac:dyDescent="0.35">
      <c r="A279" s="713" t="s">
        <v>751</v>
      </c>
      <c r="B279" s="714">
        <v>44316</v>
      </c>
      <c r="C279" s="713" t="s">
        <v>712</v>
      </c>
      <c r="D279" s="715">
        <v>313.5</v>
      </c>
    </row>
    <row r="280" spans="1:4" x14ac:dyDescent="0.35">
      <c r="A280" s="713" t="s">
        <v>751</v>
      </c>
      <c r="B280" s="714">
        <v>44316</v>
      </c>
      <c r="C280" s="713" t="s">
        <v>707</v>
      </c>
      <c r="D280" s="715">
        <v>686953</v>
      </c>
    </row>
    <row r="281" spans="1:4" x14ac:dyDescent="0.35">
      <c r="A281" s="716" t="s">
        <v>6</v>
      </c>
      <c r="B281" s="717"/>
      <c r="C281" s="716"/>
      <c r="D281" s="718">
        <f>SUM(D277:D280)</f>
        <v>794968.24</v>
      </c>
    </row>
    <row r="282" spans="1:4" x14ac:dyDescent="0.35">
      <c r="A282" s="325"/>
      <c r="B282" s="708"/>
      <c r="C282" s="325"/>
      <c r="D282" s="709"/>
    </row>
    <row r="283" spans="1:4" x14ac:dyDescent="0.35">
      <c r="A283" s="713" t="s">
        <v>752</v>
      </c>
      <c r="B283" s="714">
        <v>44316</v>
      </c>
      <c r="C283" s="713" t="s">
        <v>714</v>
      </c>
      <c r="D283" s="715">
        <v>13856.28</v>
      </c>
    </row>
    <row r="284" spans="1:4" x14ac:dyDescent="0.35">
      <c r="A284" s="713" t="s">
        <v>752</v>
      </c>
      <c r="B284" s="714">
        <v>44316</v>
      </c>
      <c r="C284" s="713" t="s">
        <v>709</v>
      </c>
      <c r="D284" s="715">
        <v>86751.42</v>
      </c>
    </row>
    <row r="285" spans="1:4" x14ac:dyDescent="0.35">
      <c r="A285" s="716" t="s">
        <v>6</v>
      </c>
      <c r="B285" s="717"/>
      <c r="C285" s="716"/>
      <c r="D285" s="718">
        <f>SUM(D283:D284)</f>
        <v>100607.7</v>
      </c>
    </row>
    <row r="286" spans="1:4" x14ac:dyDescent="0.35">
      <c r="A286" s="325"/>
      <c r="B286" s="708"/>
      <c r="C286" s="325"/>
      <c r="D286" s="709"/>
    </row>
    <row r="287" spans="1:4" x14ac:dyDescent="0.35">
      <c r="A287" s="713" t="s">
        <v>753</v>
      </c>
      <c r="B287" s="714">
        <v>44316</v>
      </c>
      <c r="C287" s="713" t="s">
        <v>713</v>
      </c>
      <c r="D287" s="715">
        <v>147</v>
      </c>
    </row>
    <row r="288" spans="1:4" x14ac:dyDescent="0.35">
      <c r="A288" s="713" t="s">
        <v>753</v>
      </c>
      <c r="B288" s="714">
        <v>44316</v>
      </c>
      <c r="C288" s="713" t="s">
        <v>712</v>
      </c>
      <c r="D288" s="715">
        <v>80</v>
      </c>
    </row>
    <row r="289" spans="1:4" x14ac:dyDescent="0.35">
      <c r="A289" s="713" t="s">
        <v>753</v>
      </c>
      <c r="B289" s="714">
        <v>44316</v>
      </c>
      <c r="C289" s="713" t="s">
        <v>707</v>
      </c>
      <c r="D289" s="715">
        <v>236563</v>
      </c>
    </row>
    <row r="290" spans="1:4" x14ac:dyDescent="0.35">
      <c r="A290" s="713" t="s">
        <v>753</v>
      </c>
      <c r="B290" s="714">
        <v>44316</v>
      </c>
      <c r="C290" s="713" t="s">
        <v>714</v>
      </c>
      <c r="D290" s="715">
        <v>27339.35</v>
      </c>
    </row>
    <row r="291" spans="1:4" x14ac:dyDescent="0.35">
      <c r="A291" s="713" t="s">
        <v>753</v>
      </c>
      <c r="B291" s="714">
        <v>44316</v>
      </c>
      <c r="C291" s="713" t="s">
        <v>718</v>
      </c>
      <c r="D291" s="715">
        <v>-44811</v>
      </c>
    </row>
    <row r="292" spans="1:4" x14ac:dyDescent="0.35">
      <c r="A292" s="716" t="s">
        <v>6</v>
      </c>
      <c r="B292" s="717"/>
      <c r="C292" s="716"/>
      <c r="D292" s="718">
        <f>SUM(D287:D291)</f>
        <v>219318.34999999998</v>
      </c>
    </row>
    <row r="293" spans="1:4" x14ac:dyDescent="0.35">
      <c r="A293" s="325"/>
      <c r="B293" s="708"/>
      <c r="C293" s="325"/>
      <c r="D293" s="709"/>
    </row>
    <row r="294" spans="1:4" x14ac:dyDescent="0.35">
      <c r="A294" s="713" t="s">
        <v>754</v>
      </c>
      <c r="B294" s="714">
        <v>44316</v>
      </c>
      <c r="C294" s="713" t="s">
        <v>714</v>
      </c>
      <c r="D294" s="715">
        <v>451121.97</v>
      </c>
    </row>
    <row r="295" spans="1:4" x14ac:dyDescent="0.35">
      <c r="A295" s="713" t="s">
        <v>754</v>
      </c>
      <c r="B295" s="714">
        <v>44316</v>
      </c>
      <c r="C295" s="713" t="s">
        <v>722</v>
      </c>
      <c r="D295" s="715">
        <v>-631940.97</v>
      </c>
    </row>
    <row r="296" spans="1:4" x14ac:dyDescent="0.35">
      <c r="A296" s="713" t="s">
        <v>754</v>
      </c>
      <c r="B296" s="714">
        <v>44316</v>
      </c>
      <c r="C296" s="713" t="s">
        <v>719</v>
      </c>
      <c r="D296" s="715">
        <v>7247.52</v>
      </c>
    </row>
    <row r="297" spans="1:4" x14ac:dyDescent="0.35">
      <c r="A297" s="713" t="s">
        <v>754</v>
      </c>
      <c r="B297" s="714">
        <v>44316</v>
      </c>
      <c r="C297" s="713" t="s">
        <v>712</v>
      </c>
      <c r="D297" s="715">
        <v>2770.1</v>
      </c>
    </row>
    <row r="298" spans="1:4" x14ac:dyDescent="0.35">
      <c r="A298" s="713" t="s">
        <v>754</v>
      </c>
      <c r="B298" s="714">
        <v>44316</v>
      </c>
      <c r="C298" s="713" t="s">
        <v>707</v>
      </c>
      <c r="D298" s="715">
        <v>2672438</v>
      </c>
    </row>
    <row r="299" spans="1:4" x14ac:dyDescent="0.35">
      <c r="A299" s="713" t="s">
        <v>754</v>
      </c>
      <c r="B299" s="714">
        <v>44316</v>
      </c>
      <c r="C299" s="713" t="s">
        <v>718</v>
      </c>
      <c r="D299" s="715">
        <v>-194139</v>
      </c>
    </row>
    <row r="300" spans="1:4" x14ac:dyDescent="0.35">
      <c r="A300" s="713" t="s">
        <v>754</v>
      </c>
      <c r="B300" s="714">
        <v>44316</v>
      </c>
      <c r="C300" s="713" t="s">
        <v>709</v>
      </c>
      <c r="D300" s="715">
        <v>2907001.91</v>
      </c>
    </row>
    <row r="301" spans="1:4" x14ac:dyDescent="0.35">
      <c r="A301" s="713" t="s">
        <v>754</v>
      </c>
      <c r="B301" s="714">
        <v>44316</v>
      </c>
      <c r="C301" s="713" t="s">
        <v>713</v>
      </c>
      <c r="D301" s="715">
        <v>8847.5</v>
      </c>
    </row>
    <row r="302" spans="1:4" x14ac:dyDescent="0.35">
      <c r="A302" s="713" t="s">
        <v>754</v>
      </c>
      <c r="B302" s="714">
        <v>44316</v>
      </c>
      <c r="C302" s="713" t="s">
        <v>710</v>
      </c>
      <c r="D302" s="715">
        <v>112245.86</v>
      </c>
    </row>
    <row r="303" spans="1:4" x14ac:dyDescent="0.35">
      <c r="A303" s="716" t="s">
        <v>6</v>
      </c>
      <c r="B303" s="717"/>
      <c r="C303" s="716"/>
      <c r="D303" s="718">
        <f>SUM(D294:D302)</f>
        <v>5335592.8900000006</v>
      </c>
    </row>
    <row r="304" spans="1:4" x14ac:dyDescent="0.35">
      <c r="A304" s="713"/>
      <c r="B304" s="714"/>
      <c r="C304" s="713"/>
      <c r="D304" s="715"/>
    </row>
    <row r="305" spans="1:4" x14ac:dyDescent="0.35">
      <c r="A305" s="713" t="s">
        <v>755</v>
      </c>
      <c r="B305" s="714">
        <v>44316</v>
      </c>
      <c r="C305" s="713" t="s">
        <v>713</v>
      </c>
      <c r="D305" s="715">
        <v>9790.5</v>
      </c>
    </row>
    <row r="306" spans="1:4" x14ac:dyDescent="0.35">
      <c r="A306" s="713" t="s">
        <v>755</v>
      </c>
      <c r="B306" s="714">
        <v>44316</v>
      </c>
      <c r="C306" s="713" t="s">
        <v>709</v>
      </c>
      <c r="D306" s="715">
        <v>11000.46</v>
      </c>
    </row>
    <row r="307" spans="1:4" x14ac:dyDescent="0.35">
      <c r="A307" s="713" t="s">
        <v>755</v>
      </c>
      <c r="B307" s="714">
        <v>44316</v>
      </c>
      <c r="C307" s="713" t="s">
        <v>718</v>
      </c>
      <c r="D307" s="715">
        <v>-64964</v>
      </c>
    </row>
    <row r="308" spans="1:4" x14ac:dyDescent="0.35">
      <c r="A308" s="713" t="s">
        <v>755</v>
      </c>
      <c r="B308" s="714">
        <v>44316</v>
      </c>
      <c r="C308" s="713" t="s">
        <v>707</v>
      </c>
      <c r="D308" s="715">
        <v>2251094</v>
      </c>
    </row>
    <row r="309" spans="1:4" x14ac:dyDescent="0.35">
      <c r="A309" s="713" t="s">
        <v>755</v>
      </c>
      <c r="B309" s="714">
        <v>44316</v>
      </c>
      <c r="C309" s="713" t="s">
        <v>714</v>
      </c>
      <c r="D309" s="715">
        <v>281513.63</v>
      </c>
    </row>
    <row r="310" spans="1:4" x14ac:dyDescent="0.35">
      <c r="A310" s="713" t="s">
        <v>755</v>
      </c>
      <c r="B310" s="714">
        <v>44316</v>
      </c>
      <c r="C310" s="713" t="s">
        <v>712</v>
      </c>
      <c r="D310" s="715">
        <v>148</v>
      </c>
    </row>
    <row r="311" spans="1:4" x14ac:dyDescent="0.35">
      <c r="A311" s="716" t="s">
        <v>6</v>
      </c>
      <c r="B311" s="717"/>
      <c r="C311" s="716"/>
      <c r="D311" s="718">
        <f>SUM(D305:D310)</f>
        <v>2488582.59</v>
      </c>
    </row>
    <row r="312" spans="1:4" x14ac:dyDescent="0.35">
      <c r="A312" s="325"/>
      <c r="B312" s="708"/>
      <c r="C312" s="325"/>
      <c r="D312" s="709"/>
    </row>
    <row r="313" spans="1:4" x14ac:dyDescent="0.35">
      <c r="A313" s="713" t="s">
        <v>506</v>
      </c>
      <c r="B313" s="714">
        <v>44316</v>
      </c>
      <c r="C313" s="713" t="s">
        <v>713</v>
      </c>
      <c r="D313" s="715">
        <v>73</v>
      </c>
    </row>
    <row r="314" spans="1:4" x14ac:dyDescent="0.35">
      <c r="A314" s="713" t="s">
        <v>506</v>
      </c>
      <c r="B314" s="714">
        <v>44316</v>
      </c>
      <c r="C314" s="713" t="s">
        <v>714</v>
      </c>
      <c r="D314" s="715">
        <v>3169.71</v>
      </c>
    </row>
    <row r="315" spans="1:4" x14ac:dyDescent="0.35">
      <c r="A315" s="716" t="s">
        <v>6</v>
      </c>
      <c r="B315" s="717"/>
      <c r="C315" s="716"/>
      <c r="D315" s="718">
        <f>SUM(D313:D314)</f>
        <v>3242.71</v>
      </c>
    </row>
    <row r="316" spans="1:4" x14ac:dyDescent="0.35">
      <c r="A316" s="325"/>
      <c r="B316" s="708"/>
      <c r="C316" s="325"/>
      <c r="D316" s="709"/>
    </row>
    <row r="317" spans="1:4" x14ac:dyDescent="0.35">
      <c r="A317" s="713" t="s">
        <v>756</v>
      </c>
      <c r="B317" s="714">
        <v>44316</v>
      </c>
      <c r="C317" s="713" t="s">
        <v>713</v>
      </c>
      <c r="D317" s="715">
        <v>154</v>
      </c>
    </row>
    <row r="318" spans="1:4" x14ac:dyDescent="0.35">
      <c r="A318" s="713" t="s">
        <v>756</v>
      </c>
      <c r="B318" s="714">
        <v>44316</v>
      </c>
      <c r="C318" s="713" t="s">
        <v>712</v>
      </c>
      <c r="D318" s="715">
        <v>186</v>
      </c>
    </row>
    <row r="319" spans="1:4" x14ac:dyDescent="0.35">
      <c r="A319" s="713" t="s">
        <v>756</v>
      </c>
      <c r="B319" s="714">
        <v>44316</v>
      </c>
      <c r="C319" s="713" t="s">
        <v>709</v>
      </c>
      <c r="D319" s="715">
        <v>55081.35</v>
      </c>
    </row>
    <row r="320" spans="1:4" x14ac:dyDescent="0.35">
      <c r="A320" s="713" t="s">
        <v>756</v>
      </c>
      <c r="B320" s="714">
        <v>44316</v>
      </c>
      <c r="C320" s="713" t="s">
        <v>714</v>
      </c>
      <c r="D320" s="715">
        <v>12243.74</v>
      </c>
    </row>
    <row r="321" spans="1:4" x14ac:dyDescent="0.35">
      <c r="A321" s="716" t="s">
        <v>6</v>
      </c>
      <c r="B321" s="717"/>
      <c r="C321" s="716"/>
      <c r="D321" s="718">
        <f>SUM(D317:D320)</f>
        <v>67665.09</v>
      </c>
    </row>
    <row r="322" spans="1:4" x14ac:dyDescent="0.35">
      <c r="A322" s="325"/>
      <c r="B322" s="708"/>
      <c r="C322" s="325"/>
      <c r="D322" s="709"/>
    </row>
    <row r="323" spans="1:4" x14ac:dyDescent="0.35">
      <c r="A323" s="713" t="s">
        <v>757</v>
      </c>
      <c r="B323" s="714">
        <v>44316</v>
      </c>
      <c r="C323" s="713" t="s">
        <v>714</v>
      </c>
      <c r="D323" s="715">
        <v>5417.52</v>
      </c>
    </row>
    <row r="324" spans="1:4" x14ac:dyDescent="0.35">
      <c r="A324" s="713" t="s">
        <v>757</v>
      </c>
      <c r="B324" s="714">
        <v>44316</v>
      </c>
      <c r="C324" s="713" t="s">
        <v>718</v>
      </c>
      <c r="D324" s="715">
        <v>-54065</v>
      </c>
    </row>
    <row r="325" spans="1:4" x14ac:dyDescent="0.35">
      <c r="A325" s="713" t="s">
        <v>757</v>
      </c>
      <c r="B325" s="714">
        <v>44316</v>
      </c>
      <c r="C325" s="713" t="s">
        <v>709</v>
      </c>
      <c r="D325" s="715">
        <v>7190.1</v>
      </c>
    </row>
    <row r="326" spans="1:4" x14ac:dyDescent="0.35">
      <c r="A326" s="713" t="s">
        <v>757</v>
      </c>
      <c r="B326" s="714">
        <v>44316</v>
      </c>
      <c r="C326" s="713" t="s">
        <v>713</v>
      </c>
      <c r="D326" s="715">
        <v>410</v>
      </c>
    </row>
    <row r="327" spans="1:4" x14ac:dyDescent="0.35">
      <c r="A327" s="713" t="s">
        <v>757</v>
      </c>
      <c r="B327" s="714">
        <v>44316</v>
      </c>
      <c r="C327" s="713" t="s">
        <v>707</v>
      </c>
      <c r="D327" s="715">
        <v>118105</v>
      </c>
    </row>
    <row r="328" spans="1:4" x14ac:dyDescent="0.35">
      <c r="A328" s="716" t="s">
        <v>6</v>
      </c>
      <c r="B328" s="717"/>
      <c r="C328" s="716"/>
      <c r="D328" s="718">
        <f>SUM(D323:D327)</f>
        <v>77057.62</v>
      </c>
    </row>
    <row r="329" spans="1:4" x14ac:dyDescent="0.35">
      <c r="A329" s="325"/>
      <c r="B329" s="708"/>
      <c r="C329" s="325"/>
      <c r="D329" s="709"/>
    </row>
    <row r="330" spans="1:4" x14ac:dyDescent="0.35">
      <c r="A330" s="713" t="s">
        <v>758</v>
      </c>
      <c r="B330" s="714">
        <v>44316</v>
      </c>
      <c r="C330" s="713" t="s">
        <v>709</v>
      </c>
      <c r="D330" s="715">
        <v>59853.63</v>
      </c>
    </row>
    <row r="331" spans="1:4" x14ac:dyDescent="0.35">
      <c r="A331" s="716" t="s">
        <v>6</v>
      </c>
      <c r="B331" s="717"/>
      <c r="C331" s="716"/>
      <c r="D331" s="718">
        <f>SUM(D330)</f>
        <v>59853.63</v>
      </c>
    </row>
    <row r="332" spans="1:4" x14ac:dyDescent="0.35">
      <c r="A332" s="325"/>
      <c r="B332" s="708"/>
      <c r="C332" s="325"/>
      <c r="D332" s="709"/>
    </row>
    <row r="333" spans="1:4" x14ac:dyDescent="0.35">
      <c r="A333" s="713" t="s">
        <v>759</v>
      </c>
      <c r="B333" s="714">
        <v>44316</v>
      </c>
      <c r="C333" s="713" t="s">
        <v>712</v>
      </c>
      <c r="D333" s="715">
        <v>2952.9</v>
      </c>
    </row>
    <row r="334" spans="1:4" x14ac:dyDescent="0.35">
      <c r="A334" s="713" t="s">
        <v>759</v>
      </c>
      <c r="B334" s="714">
        <v>44316</v>
      </c>
      <c r="C334" s="713" t="s">
        <v>707</v>
      </c>
      <c r="D334" s="715">
        <v>4296894</v>
      </c>
    </row>
    <row r="335" spans="1:4" x14ac:dyDescent="0.35">
      <c r="A335" s="713" t="s">
        <v>759</v>
      </c>
      <c r="B335" s="714">
        <v>44316</v>
      </c>
      <c r="C335" s="713" t="s">
        <v>719</v>
      </c>
      <c r="D335" s="715">
        <v>36738.54</v>
      </c>
    </row>
    <row r="336" spans="1:4" x14ac:dyDescent="0.35">
      <c r="A336" s="713" t="s">
        <v>759</v>
      </c>
      <c r="B336" s="714">
        <v>44316</v>
      </c>
      <c r="C336" s="713" t="s">
        <v>713</v>
      </c>
      <c r="D336" s="715">
        <v>17522</v>
      </c>
    </row>
    <row r="337" spans="1:4" x14ac:dyDescent="0.35">
      <c r="A337" s="713" t="s">
        <v>759</v>
      </c>
      <c r="B337" s="714">
        <v>44316</v>
      </c>
      <c r="C337" s="713" t="s">
        <v>709</v>
      </c>
      <c r="D337" s="715">
        <v>234786.5</v>
      </c>
    </row>
    <row r="338" spans="1:4" x14ac:dyDescent="0.35">
      <c r="A338" s="713" t="s">
        <v>759</v>
      </c>
      <c r="B338" s="714">
        <v>44316</v>
      </c>
      <c r="C338" s="713" t="s">
        <v>760</v>
      </c>
      <c r="D338" s="715">
        <v>-315935.52</v>
      </c>
    </row>
    <row r="339" spans="1:4" x14ac:dyDescent="0.35">
      <c r="A339" s="713" t="s">
        <v>759</v>
      </c>
      <c r="B339" s="714">
        <v>44316</v>
      </c>
      <c r="C339" s="713" t="s">
        <v>714</v>
      </c>
      <c r="D339" s="715">
        <v>809301.37</v>
      </c>
    </row>
    <row r="340" spans="1:4" x14ac:dyDescent="0.35">
      <c r="A340" s="716" t="s">
        <v>6</v>
      </c>
      <c r="B340" s="717"/>
      <c r="C340" s="716"/>
      <c r="D340" s="718">
        <f>SUM(D333:D339)</f>
        <v>5082259.79</v>
      </c>
    </row>
    <row r="341" spans="1:4" x14ac:dyDescent="0.35">
      <c r="A341" s="325"/>
      <c r="B341" s="708"/>
      <c r="C341" s="325"/>
      <c r="D341" s="709"/>
    </row>
    <row r="342" spans="1:4" x14ac:dyDescent="0.35">
      <c r="A342" s="713" t="s">
        <v>761</v>
      </c>
      <c r="B342" s="714">
        <v>44316</v>
      </c>
      <c r="C342" s="713" t="s">
        <v>707</v>
      </c>
      <c r="D342" s="715">
        <v>43745</v>
      </c>
    </row>
    <row r="343" spans="1:4" x14ac:dyDescent="0.35">
      <c r="A343" s="716" t="s">
        <v>6</v>
      </c>
      <c r="B343" s="717"/>
      <c r="C343" s="716"/>
      <c r="D343" s="718">
        <f>SUM(D342)</f>
        <v>43745</v>
      </c>
    </row>
    <row r="344" spans="1:4" x14ac:dyDescent="0.35">
      <c r="A344" s="325"/>
      <c r="B344" s="708"/>
      <c r="C344" s="325"/>
      <c r="D344" s="709"/>
    </row>
    <row r="345" spans="1:4" x14ac:dyDescent="0.35">
      <c r="A345" s="713" t="s">
        <v>762</v>
      </c>
      <c r="B345" s="714">
        <v>44316</v>
      </c>
      <c r="C345" s="713" t="s">
        <v>707</v>
      </c>
      <c r="D345" s="715">
        <v>7752</v>
      </c>
    </row>
    <row r="346" spans="1:4" x14ac:dyDescent="0.35">
      <c r="A346" s="716" t="s">
        <v>6</v>
      </c>
      <c r="B346" s="717"/>
      <c r="C346" s="716"/>
      <c r="D346" s="718">
        <f>SUM(D345)</f>
        <v>7752</v>
      </c>
    </row>
    <row r="347" spans="1:4" x14ac:dyDescent="0.35">
      <c r="A347" s="325"/>
      <c r="B347" s="708"/>
      <c r="C347" s="325"/>
      <c r="D347" s="709"/>
    </row>
    <row r="348" spans="1:4" x14ac:dyDescent="0.35">
      <c r="A348" s="713" t="s">
        <v>763</v>
      </c>
      <c r="B348" s="714">
        <v>44316</v>
      </c>
      <c r="C348" s="713" t="s">
        <v>707</v>
      </c>
      <c r="D348" s="715">
        <v>187039</v>
      </c>
    </row>
    <row r="349" spans="1:4" x14ac:dyDescent="0.35">
      <c r="A349" s="713" t="s">
        <v>763</v>
      </c>
      <c r="B349" s="714">
        <v>44316</v>
      </c>
      <c r="C349" s="713" t="s">
        <v>724</v>
      </c>
      <c r="D349" s="715">
        <v>0</v>
      </c>
    </row>
    <row r="350" spans="1:4" x14ac:dyDescent="0.35">
      <c r="A350" s="713" t="s">
        <v>763</v>
      </c>
      <c r="B350" s="714">
        <v>44316</v>
      </c>
      <c r="C350" s="713" t="s">
        <v>714</v>
      </c>
      <c r="D350" s="715">
        <v>8692.25</v>
      </c>
    </row>
    <row r="351" spans="1:4" x14ac:dyDescent="0.35">
      <c r="A351" s="716" t="s">
        <v>6</v>
      </c>
      <c r="B351" s="717"/>
      <c r="C351" s="716"/>
      <c r="D351" s="718">
        <f>SUM(D348:D350)</f>
        <v>195731.25</v>
      </c>
    </row>
    <row r="352" spans="1:4" x14ac:dyDescent="0.35">
      <c r="A352" s="325"/>
      <c r="B352" s="708"/>
      <c r="C352" s="325"/>
      <c r="D352" s="709"/>
    </row>
    <row r="353" spans="1:4" x14ac:dyDescent="0.35">
      <c r="A353" s="713" t="s">
        <v>764</v>
      </c>
      <c r="B353" s="714">
        <v>44316</v>
      </c>
      <c r="C353" s="713" t="s">
        <v>707</v>
      </c>
      <c r="D353" s="715">
        <v>7947</v>
      </c>
    </row>
    <row r="354" spans="1:4" x14ac:dyDescent="0.35">
      <c r="A354" s="713" t="s">
        <v>764</v>
      </c>
      <c r="B354" s="714">
        <v>44316</v>
      </c>
      <c r="C354" s="713" t="s">
        <v>713</v>
      </c>
      <c r="D354" s="715">
        <v>197</v>
      </c>
    </row>
    <row r="355" spans="1:4" x14ac:dyDescent="0.35">
      <c r="A355" s="713" t="s">
        <v>764</v>
      </c>
      <c r="B355" s="714">
        <v>44316</v>
      </c>
      <c r="C355" s="713" t="s">
        <v>714</v>
      </c>
      <c r="D355" s="715">
        <v>2477.0100000000002</v>
      </c>
    </row>
    <row r="356" spans="1:4" x14ac:dyDescent="0.35">
      <c r="A356" s="716" t="s">
        <v>6</v>
      </c>
      <c r="B356" s="717"/>
      <c r="C356" s="716"/>
      <c r="D356" s="718">
        <f>SUM(D353:D355)</f>
        <v>10621.01</v>
      </c>
    </row>
    <row r="357" spans="1:4" x14ac:dyDescent="0.35">
      <c r="A357" s="325"/>
      <c r="B357" s="708"/>
      <c r="C357" s="325"/>
      <c r="D357" s="709"/>
    </row>
    <row r="358" spans="1:4" x14ac:dyDescent="0.35">
      <c r="A358" s="713" t="s">
        <v>510</v>
      </c>
      <c r="B358" s="714">
        <v>44316</v>
      </c>
      <c r="C358" s="713" t="s">
        <v>709</v>
      </c>
      <c r="D358" s="715">
        <v>78943.7</v>
      </c>
    </row>
    <row r="359" spans="1:4" x14ac:dyDescent="0.35">
      <c r="A359" s="716" t="s">
        <v>6</v>
      </c>
      <c r="B359" s="717"/>
      <c r="C359" s="716"/>
      <c r="D359" s="718">
        <f>SUM(D358)</f>
        <v>78943.7</v>
      </c>
    </row>
    <row r="360" spans="1:4" x14ac:dyDescent="0.35">
      <c r="A360" s="325"/>
      <c r="B360" s="708"/>
      <c r="C360" s="325"/>
      <c r="D360" s="709"/>
    </row>
    <row r="361" spans="1:4" x14ac:dyDescent="0.35">
      <c r="A361" s="713" t="s">
        <v>765</v>
      </c>
      <c r="B361" s="714">
        <v>44316</v>
      </c>
      <c r="C361" s="713" t="s">
        <v>714</v>
      </c>
      <c r="D361" s="715">
        <v>147707.29</v>
      </c>
    </row>
    <row r="362" spans="1:4" x14ac:dyDescent="0.35">
      <c r="A362" s="713" t="s">
        <v>765</v>
      </c>
      <c r="B362" s="714">
        <v>44316</v>
      </c>
      <c r="C362" s="713" t="s">
        <v>712</v>
      </c>
      <c r="D362" s="715">
        <v>1227.5</v>
      </c>
    </row>
    <row r="363" spans="1:4" x14ac:dyDescent="0.35">
      <c r="A363" s="713" t="s">
        <v>765</v>
      </c>
      <c r="B363" s="714">
        <v>44316</v>
      </c>
      <c r="C363" s="713" t="s">
        <v>707</v>
      </c>
      <c r="D363" s="715">
        <v>340742</v>
      </c>
    </row>
    <row r="364" spans="1:4" x14ac:dyDescent="0.35">
      <c r="A364" s="713" t="s">
        <v>765</v>
      </c>
      <c r="B364" s="714">
        <v>44316</v>
      </c>
      <c r="C364" s="713" t="s">
        <v>709</v>
      </c>
      <c r="D364" s="715">
        <v>77748.759999999995</v>
      </c>
    </row>
    <row r="365" spans="1:4" x14ac:dyDescent="0.35">
      <c r="A365" s="713" t="s">
        <v>765</v>
      </c>
      <c r="B365" s="714">
        <v>44316</v>
      </c>
      <c r="C365" s="713" t="s">
        <v>719</v>
      </c>
      <c r="D365" s="715">
        <v>2664.09</v>
      </c>
    </row>
    <row r="366" spans="1:4" x14ac:dyDescent="0.35">
      <c r="A366" s="713" t="s">
        <v>765</v>
      </c>
      <c r="B366" s="714">
        <v>44316</v>
      </c>
      <c r="C366" s="713" t="s">
        <v>713</v>
      </c>
      <c r="D366" s="715">
        <v>7013.5</v>
      </c>
    </row>
    <row r="367" spans="1:4" x14ac:dyDescent="0.35">
      <c r="A367" s="716" t="s">
        <v>6</v>
      </c>
      <c r="B367" s="717"/>
      <c r="C367" s="716"/>
      <c r="D367" s="718">
        <f>SUM(D361:D366)</f>
        <v>577103.14</v>
      </c>
    </row>
    <row r="368" spans="1:4" x14ac:dyDescent="0.35">
      <c r="A368" s="325"/>
      <c r="B368" s="708"/>
      <c r="C368" s="325"/>
      <c r="D368" s="709"/>
    </row>
    <row r="369" spans="1:4" x14ac:dyDescent="0.35">
      <c r="A369" s="713" t="s">
        <v>766</v>
      </c>
      <c r="B369" s="714">
        <v>44316</v>
      </c>
      <c r="C369" s="713" t="s">
        <v>714</v>
      </c>
      <c r="D369" s="715">
        <v>42545.61</v>
      </c>
    </row>
    <row r="370" spans="1:4" x14ac:dyDescent="0.35">
      <c r="A370" s="713" t="s">
        <v>766</v>
      </c>
      <c r="B370" s="714">
        <v>44316</v>
      </c>
      <c r="C370" s="713" t="s">
        <v>707</v>
      </c>
      <c r="D370" s="715">
        <v>357766</v>
      </c>
    </row>
    <row r="371" spans="1:4" x14ac:dyDescent="0.35">
      <c r="A371" s="713" t="s">
        <v>766</v>
      </c>
      <c r="B371" s="714">
        <v>44316</v>
      </c>
      <c r="C371" s="713" t="s">
        <v>712</v>
      </c>
      <c r="D371" s="715">
        <v>1033.83</v>
      </c>
    </row>
    <row r="372" spans="1:4" x14ac:dyDescent="0.35">
      <c r="A372" s="713" t="s">
        <v>766</v>
      </c>
      <c r="B372" s="714">
        <v>44316</v>
      </c>
      <c r="C372" s="713" t="s">
        <v>713</v>
      </c>
      <c r="D372" s="715">
        <v>2058</v>
      </c>
    </row>
    <row r="373" spans="1:4" x14ac:dyDescent="0.35">
      <c r="A373" s="713" t="s">
        <v>766</v>
      </c>
      <c r="B373" s="714">
        <v>44316</v>
      </c>
      <c r="C373" s="713" t="s">
        <v>709</v>
      </c>
      <c r="D373" s="715">
        <v>12710.47</v>
      </c>
    </row>
    <row r="374" spans="1:4" x14ac:dyDescent="0.35">
      <c r="A374" s="716" t="s">
        <v>6</v>
      </c>
      <c r="B374" s="717"/>
      <c r="C374" s="716"/>
      <c r="D374" s="718">
        <f>SUM(D369:D373)</f>
        <v>416113.91</v>
      </c>
    </row>
    <row r="375" spans="1:4" x14ac:dyDescent="0.35">
      <c r="A375" s="325"/>
      <c r="B375" s="708"/>
      <c r="C375" s="325"/>
      <c r="D375" s="709"/>
    </row>
    <row r="376" spans="1:4" x14ac:dyDescent="0.35">
      <c r="A376" s="713" t="s">
        <v>767</v>
      </c>
      <c r="B376" s="714">
        <v>44316</v>
      </c>
      <c r="C376" s="713" t="s">
        <v>709</v>
      </c>
      <c r="D376" s="715">
        <v>26733.64</v>
      </c>
    </row>
    <row r="377" spans="1:4" x14ac:dyDescent="0.35">
      <c r="A377" s="713" t="s">
        <v>767</v>
      </c>
      <c r="B377" s="714">
        <v>44316</v>
      </c>
      <c r="C377" s="713" t="s">
        <v>707</v>
      </c>
      <c r="D377" s="715">
        <v>26150</v>
      </c>
    </row>
    <row r="378" spans="1:4" x14ac:dyDescent="0.35">
      <c r="A378" s="713" t="s">
        <v>767</v>
      </c>
      <c r="B378" s="714">
        <v>44316</v>
      </c>
      <c r="C378" s="713" t="s">
        <v>718</v>
      </c>
      <c r="D378" s="715">
        <v>-4292</v>
      </c>
    </row>
    <row r="379" spans="1:4" x14ac:dyDescent="0.35">
      <c r="A379" s="713" t="s">
        <v>767</v>
      </c>
      <c r="B379" s="714">
        <v>44316</v>
      </c>
      <c r="C379" s="713" t="s">
        <v>722</v>
      </c>
      <c r="D379" s="715">
        <v>-8718.64</v>
      </c>
    </row>
    <row r="380" spans="1:4" x14ac:dyDescent="0.35">
      <c r="A380" s="716" t="s">
        <v>6</v>
      </c>
      <c r="B380" s="717"/>
      <c r="C380" s="716"/>
      <c r="D380" s="718">
        <f>SUM(D376:D379)</f>
        <v>39873</v>
      </c>
    </row>
    <row r="381" spans="1:4" x14ac:dyDescent="0.35">
      <c r="A381" s="325"/>
      <c r="B381" s="708"/>
      <c r="C381" s="325"/>
      <c r="D381" s="709"/>
    </row>
    <row r="382" spans="1:4" x14ac:dyDescent="0.35">
      <c r="A382" s="713" t="s">
        <v>768</v>
      </c>
      <c r="B382" s="714">
        <v>44316</v>
      </c>
      <c r="C382" s="713" t="s">
        <v>714</v>
      </c>
      <c r="D382" s="715">
        <v>103790.19</v>
      </c>
    </row>
    <row r="383" spans="1:4" x14ac:dyDescent="0.35">
      <c r="A383" s="713" t="s">
        <v>768</v>
      </c>
      <c r="B383" s="714">
        <v>44316</v>
      </c>
      <c r="C383" s="713" t="s">
        <v>718</v>
      </c>
      <c r="D383" s="715">
        <v>-68823</v>
      </c>
    </row>
    <row r="384" spans="1:4" x14ac:dyDescent="0.35">
      <c r="A384" s="713" t="s">
        <v>768</v>
      </c>
      <c r="B384" s="714">
        <v>44316</v>
      </c>
      <c r="C384" s="713" t="s">
        <v>719</v>
      </c>
      <c r="D384" s="715">
        <v>10769.48</v>
      </c>
    </row>
    <row r="385" spans="1:4" x14ac:dyDescent="0.35">
      <c r="A385" s="713" t="s">
        <v>768</v>
      </c>
      <c r="B385" s="714">
        <v>44316</v>
      </c>
      <c r="C385" s="713" t="s">
        <v>713</v>
      </c>
      <c r="D385" s="715">
        <v>475</v>
      </c>
    </row>
    <row r="386" spans="1:4" x14ac:dyDescent="0.35">
      <c r="A386" s="713" t="s">
        <v>768</v>
      </c>
      <c r="B386" s="714">
        <v>44316</v>
      </c>
      <c r="C386" s="713" t="s">
        <v>707</v>
      </c>
      <c r="D386" s="715">
        <v>423363.35</v>
      </c>
    </row>
    <row r="387" spans="1:4" x14ac:dyDescent="0.35">
      <c r="A387" s="713" t="s">
        <v>768</v>
      </c>
      <c r="B387" s="714">
        <v>44316</v>
      </c>
      <c r="C387" s="713" t="s">
        <v>760</v>
      </c>
      <c r="D387" s="715">
        <v>-291.56</v>
      </c>
    </row>
    <row r="388" spans="1:4" x14ac:dyDescent="0.35">
      <c r="A388" s="713" t="s">
        <v>768</v>
      </c>
      <c r="B388" s="714">
        <v>44316</v>
      </c>
      <c r="C388" s="713" t="s">
        <v>709</v>
      </c>
      <c r="D388" s="715">
        <v>11321.11</v>
      </c>
    </row>
    <row r="389" spans="1:4" x14ac:dyDescent="0.35">
      <c r="A389" s="716" t="s">
        <v>6</v>
      </c>
      <c r="B389" s="717"/>
      <c r="C389" s="716"/>
      <c r="D389" s="718">
        <f>SUM(D382:D388)</f>
        <v>480604.56999999995</v>
      </c>
    </row>
    <row r="390" spans="1:4" x14ac:dyDescent="0.35">
      <c r="A390" s="325"/>
      <c r="B390" s="708"/>
      <c r="C390" s="325"/>
      <c r="D390" s="709"/>
    </row>
    <row r="391" spans="1:4" x14ac:dyDescent="0.35">
      <c r="A391" s="713" t="s">
        <v>505</v>
      </c>
      <c r="B391" s="714">
        <v>44316</v>
      </c>
      <c r="C391" s="713" t="s">
        <v>709</v>
      </c>
      <c r="D391" s="715">
        <v>3832.01</v>
      </c>
    </row>
    <row r="392" spans="1:4" x14ac:dyDescent="0.35">
      <c r="A392" s="716" t="s">
        <v>6</v>
      </c>
      <c r="B392" s="717"/>
      <c r="C392" s="716"/>
      <c r="D392" s="718">
        <f>SUM(D391)</f>
        <v>3832.01</v>
      </c>
    </row>
    <row r="393" spans="1:4" x14ac:dyDescent="0.35">
      <c r="A393" s="710" t="s">
        <v>665</v>
      </c>
      <c r="B393" s="710"/>
      <c r="C393" s="710"/>
      <c r="D393" s="712">
        <f>SUM(D2:D392)/2</f>
        <v>71836698.60999988</v>
      </c>
    </row>
    <row r="395" spans="1:4" x14ac:dyDescent="0.35">
      <c r="D395" s="675">
        <v>238729.02</v>
      </c>
    </row>
    <row r="396" spans="1:4" x14ac:dyDescent="0.35">
      <c r="D396" s="675">
        <f>D393-D395</f>
        <v>71597969.589999884</v>
      </c>
    </row>
  </sheetData>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91"/>
  <sheetViews>
    <sheetView topLeftCell="A301" workbookViewId="0">
      <selection activeCell="D392" sqref="D392:D394"/>
    </sheetView>
  </sheetViews>
  <sheetFormatPr defaultRowHeight="14.5" x14ac:dyDescent="0.35"/>
  <cols>
    <col min="1" max="1" width="56.453125" style="682" customWidth="1"/>
    <col min="2" max="2" width="17" style="682" customWidth="1"/>
    <col min="3" max="3" width="13" style="682" customWidth="1"/>
    <col min="4" max="4" width="16.36328125" style="675" customWidth="1"/>
  </cols>
  <sheetData>
    <row r="1" spans="1:4" x14ac:dyDescent="0.35">
      <c r="A1" s="683" t="s">
        <v>1</v>
      </c>
      <c r="B1" s="683" t="s">
        <v>704</v>
      </c>
      <c r="C1" s="683" t="s">
        <v>705</v>
      </c>
      <c r="D1" s="674" t="s">
        <v>588</v>
      </c>
    </row>
    <row r="2" spans="1:4" x14ac:dyDescent="0.35">
      <c r="A2" s="713" t="s">
        <v>706</v>
      </c>
      <c r="B2" s="714">
        <v>44347</v>
      </c>
      <c r="C2" s="713" t="s">
        <v>707</v>
      </c>
      <c r="D2" s="715">
        <v>8553</v>
      </c>
    </row>
    <row r="3" spans="1:4" s="683" customFormat="1" x14ac:dyDescent="0.35">
      <c r="A3" s="716" t="s">
        <v>769</v>
      </c>
      <c r="B3" s="717"/>
      <c r="C3" s="716"/>
      <c r="D3" s="718">
        <f>SUM(D2)</f>
        <v>8553</v>
      </c>
    </row>
    <row r="4" spans="1:4" x14ac:dyDescent="0.35">
      <c r="A4" s="684"/>
      <c r="B4" s="719"/>
      <c r="C4" s="684"/>
      <c r="D4" s="676"/>
    </row>
    <row r="5" spans="1:4" x14ac:dyDescent="0.35">
      <c r="A5" s="713" t="s">
        <v>708</v>
      </c>
      <c r="B5" s="714">
        <v>44347</v>
      </c>
      <c r="C5" s="713" t="s">
        <v>719</v>
      </c>
      <c r="D5" s="715">
        <v>41261.1</v>
      </c>
    </row>
    <row r="6" spans="1:4" x14ac:dyDescent="0.35">
      <c r="A6" s="713" t="s">
        <v>708</v>
      </c>
      <c r="B6" s="714">
        <v>44347</v>
      </c>
      <c r="C6" s="713" t="s">
        <v>710</v>
      </c>
      <c r="D6" s="715">
        <v>9242.39</v>
      </c>
    </row>
    <row r="7" spans="1:4" x14ac:dyDescent="0.35">
      <c r="A7" s="713" t="s">
        <v>708</v>
      </c>
      <c r="B7" s="714">
        <v>44347</v>
      </c>
      <c r="C7" s="713" t="s">
        <v>760</v>
      </c>
      <c r="D7" s="715">
        <v>-1802.15</v>
      </c>
    </row>
    <row r="8" spans="1:4" s="683" customFormat="1" x14ac:dyDescent="0.35">
      <c r="A8" s="716" t="s">
        <v>769</v>
      </c>
      <c r="B8" s="717"/>
      <c r="C8" s="716"/>
      <c r="D8" s="718">
        <f>SUM(D5:D7)</f>
        <v>48701.34</v>
      </c>
    </row>
    <row r="9" spans="1:4" x14ac:dyDescent="0.35">
      <c r="A9" s="684"/>
      <c r="B9" s="719"/>
      <c r="C9" s="684"/>
      <c r="D9" s="676"/>
    </row>
    <row r="10" spans="1:4" x14ac:dyDescent="0.35">
      <c r="A10" s="713" t="s">
        <v>711</v>
      </c>
      <c r="B10" s="714">
        <v>44347</v>
      </c>
      <c r="C10" s="713" t="s">
        <v>714</v>
      </c>
      <c r="D10" s="715">
        <v>1759602.4</v>
      </c>
    </row>
    <row r="11" spans="1:4" x14ac:dyDescent="0.35">
      <c r="A11" s="713" t="s">
        <v>711</v>
      </c>
      <c r="B11" s="714">
        <v>44347</v>
      </c>
      <c r="C11" s="713" t="s">
        <v>713</v>
      </c>
      <c r="D11" s="715">
        <v>31334.5</v>
      </c>
    </row>
    <row r="12" spans="1:4" x14ac:dyDescent="0.35">
      <c r="A12" s="713" t="s">
        <v>711</v>
      </c>
      <c r="B12" s="714">
        <v>44347</v>
      </c>
      <c r="C12" s="713" t="s">
        <v>709</v>
      </c>
      <c r="D12" s="715">
        <v>102999.71</v>
      </c>
    </row>
    <row r="13" spans="1:4" x14ac:dyDescent="0.35">
      <c r="A13" s="713" t="s">
        <v>711</v>
      </c>
      <c r="B13" s="714">
        <v>44347</v>
      </c>
      <c r="C13" s="713" t="s">
        <v>712</v>
      </c>
      <c r="D13" s="715">
        <v>8643.7000000000007</v>
      </c>
    </row>
    <row r="14" spans="1:4" x14ac:dyDescent="0.35">
      <c r="A14" s="713" t="s">
        <v>711</v>
      </c>
      <c r="B14" s="714">
        <v>44347</v>
      </c>
      <c r="C14" s="713" t="s">
        <v>710</v>
      </c>
      <c r="D14" s="715">
        <v>0</v>
      </c>
    </row>
    <row r="15" spans="1:4" x14ac:dyDescent="0.35">
      <c r="A15" s="713" t="s">
        <v>711</v>
      </c>
      <c r="B15" s="714">
        <v>44347</v>
      </c>
      <c r="C15" s="713" t="s">
        <v>707</v>
      </c>
      <c r="D15" s="715">
        <v>4832814</v>
      </c>
    </row>
    <row r="16" spans="1:4" x14ac:dyDescent="0.35">
      <c r="A16" s="713" t="s">
        <v>711</v>
      </c>
      <c r="B16" s="714">
        <v>44347</v>
      </c>
      <c r="C16" s="713" t="s">
        <v>718</v>
      </c>
      <c r="D16" s="715">
        <v>-17446</v>
      </c>
    </row>
    <row r="17" spans="1:4" s="683" customFormat="1" x14ac:dyDescent="0.35">
      <c r="A17" s="716" t="s">
        <v>769</v>
      </c>
      <c r="B17" s="717"/>
      <c r="C17" s="716"/>
      <c r="D17" s="718">
        <f>SUM(D10:D16)</f>
        <v>6717948.3099999996</v>
      </c>
    </row>
    <row r="18" spans="1:4" x14ac:dyDescent="0.35">
      <c r="A18" s="684"/>
      <c r="B18" s="719"/>
      <c r="C18" s="684"/>
      <c r="D18" s="676"/>
    </row>
    <row r="19" spans="1:4" x14ac:dyDescent="0.35">
      <c r="A19" s="713" t="s">
        <v>715</v>
      </c>
      <c r="B19" s="714">
        <v>44347</v>
      </c>
      <c r="C19" s="713" t="s">
        <v>712</v>
      </c>
      <c r="D19" s="715">
        <v>196.9</v>
      </c>
    </row>
    <row r="20" spans="1:4" x14ac:dyDescent="0.35">
      <c r="A20" s="713" t="s">
        <v>715</v>
      </c>
      <c r="B20" s="714">
        <v>44347</v>
      </c>
      <c r="C20" s="713" t="s">
        <v>713</v>
      </c>
      <c r="D20" s="715">
        <v>1955</v>
      </c>
    </row>
    <row r="21" spans="1:4" x14ac:dyDescent="0.35">
      <c r="A21" s="713" t="s">
        <v>715</v>
      </c>
      <c r="B21" s="714">
        <v>44347</v>
      </c>
      <c r="C21" s="713" t="s">
        <v>709</v>
      </c>
      <c r="D21" s="715">
        <v>157062.56</v>
      </c>
    </row>
    <row r="22" spans="1:4" x14ac:dyDescent="0.35">
      <c r="A22" s="713" t="s">
        <v>715</v>
      </c>
      <c r="B22" s="714">
        <v>44347</v>
      </c>
      <c r="C22" s="713" t="s">
        <v>714</v>
      </c>
      <c r="D22" s="715">
        <v>148871.6</v>
      </c>
    </row>
    <row r="23" spans="1:4" x14ac:dyDescent="0.35">
      <c r="A23" s="713" t="s">
        <v>715</v>
      </c>
      <c r="B23" s="714">
        <v>44347</v>
      </c>
      <c r="C23" s="713" t="s">
        <v>707</v>
      </c>
      <c r="D23" s="715">
        <v>552538</v>
      </c>
    </row>
    <row r="24" spans="1:4" x14ac:dyDescent="0.35">
      <c r="A24" s="713" t="s">
        <v>715</v>
      </c>
      <c r="B24" s="714">
        <v>44347</v>
      </c>
      <c r="C24" s="713" t="s">
        <v>710</v>
      </c>
      <c r="D24" s="715">
        <v>27382.63</v>
      </c>
    </row>
    <row r="25" spans="1:4" s="683" customFormat="1" x14ac:dyDescent="0.35">
      <c r="A25" s="716" t="s">
        <v>769</v>
      </c>
      <c r="B25" s="717"/>
      <c r="C25" s="716"/>
      <c r="D25" s="718">
        <f>SUM(D19:D24)</f>
        <v>888006.69000000006</v>
      </c>
    </row>
    <row r="26" spans="1:4" x14ac:dyDescent="0.35">
      <c r="A26" s="684"/>
      <c r="B26" s="719"/>
      <c r="C26" s="684"/>
      <c r="D26" s="676"/>
    </row>
    <row r="27" spans="1:4" x14ac:dyDescent="0.35">
      <c r="A27" s="713" t="s">
        <v>716</v>
      </c>
      <c r="B27" s="714">
        <v>44347</v>
      </c>
      <c r="C27" s="713" t="s">
        <v>709</v>
      </c>
      <c r="D27" s="715">
        <v>43542.7</v>
      </c>
    </row>
    <row r="28" spans="1:4" x14ac:dyDescent="0.35">
      <c r="A28" s="713" t="s">
        <v>716</v>
      </c>
      <c r="B28" s="714">
        <v>44347</v>
      </c>
      <c r="C28" s="713" t="s">
        <v>712</v>
      </c>
      <c r="D28" s="715">
        <v>1060</v>
      </c>
    </row>
    <row r="29" spans="1:4" x14ac:dyDescent="0.35">
      <c r="A29" s="713" t="s">
        <v>716</v>
      </c>
      <c r="B29" s="714">
        <v>44347</v>
      </c>
      <c r="C29" s="713" t="s">
        <v>713</v>
      </c>
      <c r="D29" s="715">
        <v>1268</v>
      </c>
    </row>
    <row r="30" spans="1:4" x14ac:dyDescent="0.35">
      <c r="A30" s="713" t="s">
        <v>716</v>
      </c>
      <c r="B30" s="714">
        <v>44347</v>
      </c>
      <c r="C30" s="713" t="s">
        <v>707</v>
      </c>
      <c r="D30" s="715">
        <v>517214</v>
      </c>
    </row>
    <row r="31" spans="1:4" x14ac:dyDescent="0.35">
      <c r="A31" s="713" t="s">
        <v>716</v>
      </c>
      <c r="B31" s="714">
        <v>44347</v>
      </c>
      <c r="C31" s="713" t="s">
        <v>718</v>
      </c>
      <c r="D31" s="715">
        <v>-25608</v>
      </c>
    </row>
    <row r="32" spans="1:4" x14ac:dyDescent="0.35">
      <c r="A32" s="713" t="s">
        <v>716</v>
      </c>
      <c r="B32" s="714">
        <v>44347</v>
      </c>
      <c r="C32" s="713" t="s">
        <v>714</v>
      </c>
      <c r="D32" s="715">
        <v>144625.70000000001</v>
      </c>
    </row>
    <row r="33" spans="1:4" s="683" customFormat="1" x14ac:dyDescent="0.35">
      <c r="A33" s="716" t="s">
        <v>769</v>
      </c>
      <c r="B33" s="717"/>
      <c r="C33" s="716"/>
      <c r="D33" s="718">
        <f>SUM(D27:D32)</f>
        <v>682102.39999999991</v>
      </c>
    </row>
    <row r="34" spans="1:4" x14ac:dyDescent="0.35">
      <c r="A34" s="684"/>
      <c r="B34" s="719"/>
      <c r="C34" s="684"/>
      <c r="D34" s="676"/>
    </row>
    <row r="35" spans="1:4" x14ac:dyDescent="0.35">
      <c r="A35" s="713" t="s">
        <v>717</v>
      </c>
      <c r="B35" s="714">
        <v>44347</v>
      </c>
      <c r="C35" s="713" t="s">
        <v>718</v>
      </c>
      <c r="D35" s="715">
        <v>-147386</v>
      </c>
    </row>
    <row r="36" spans="1:4" x14ac:dyDescent="0.35">
      <c r="A36" s="713" t="s">
        <v>717</v>
      </c>
      <c r="B36" s="714">
        <v>44347</v>
      </c>
      <c r="C36" s="713" t="s">
        <v>710</v>
      </c>
      <c r="D36" s="715">
        <v>15908.65</v>
      </c>
    </row>
    <row r="37" spans="1:4" x14ac:dyDescent="0.35">
      <c r="A37" s="713" t="s">
        <v>717</v>
      </c>
      <c r="B37" s="714">
        <v>44347</v>
      </c>
      <c r="C37" s="713" t="s">
        <v>707</v>
      </c>
      <c r="D37" s="715">
        <v>5672137</v>
      </c>
    </row>
    <row r="38" spans="1:4" x14ac:dyDescent="0.35">
      <c r="A38" s="713" t="s">
        <v>717</v>
      </c>
      <c r="B38" s="714">
        <v>44347</v>
      </c>
      <c r="C38" s="713" t="s">
        <v>709</v>
      </c>
      <c r="D38" s="715">
        <v>180998.9</v>
      </c>
    </row>
    <row r="39" spans="1:4" x14ac:dyDescent="0.35">
      <c r="A39" s="713" t="s">
        <v>717</v>
      </c>
      <c r="B39" s="714">
        <v>44347</v>
      </c>
      <c r="C39" s="713" t="s">
        <v>713</v>
      </c>
      <c r="D39" s="715">
        <v>19190.5</v>
      </c>
    </row>
    <row r="40" spans="1:4" x14ac:dyDescent="0.35">
      <c r="A40" s="713" t="s">
        <v>717</v>
      </c>
      <c r="B40" s="714">
        <v>44347</v>
      </c>
      <c r="C40" s="713" t="s">
        <v>712</v>
      </c>
      <c r="D40" s="715">
        <v>3912</v>
      </c>
    </row>
    <row r="41" spans="1:4" x14ac:dyDescent="0.35">
      <c r="A41" s="713" t="s">
        <v>717</v>
      </c>
      <c r="B41" s="714">
        <v>44347</v>
      </c>
      <c r="C41" s="713" t="s">
        <v>714</v>
      </c>
      <c r="D41" s="715">
        <v>848928.69</v>
      </c>
    </row>
    <row r="42" spans="1:4" s="683" customFormat="1" x14ac:dyDescent="0.35">
      <c r="A42" s="716" t="s">
        <v>769</v>
      </c>
      <c r="B42" s="717"/>
      <c r="C42" s="716"/>
      <c r="D42" s="718">
        <f>SUM(D35:D41)</f>
        <v>6593689.7400000002</v>
      </c>
    </row>
    <row r="43" spans="1:4" x14ac:dyDescent="0.35">
      <c r="A43" s="684"/>
      <c r="B43" s="719"/>
      <c r="C43" s="684"/>
      <c r="D43" s="676"/>
    </row>
    <row r="44" spans="1:4" x14ac:dyDescent="0.35">
      <c r="A44" s="713" t="s">
        <v>720</v>
      </c>
      <c r="B44" s="714">
        <v>44347</v>
      </c>
      <c r="C44" s="713" t="s">
        <v>713</v>
      </c>
      <c r="D44" s="715">
        <v>2383</v>
      </c>
    </row>
    <row r="45" spans="1:4" x14ac:dyDescent="0.35">
      <c r="A45" s="713" t="s">
        <v>720</v>
      </c>
      <c r="B45" s="714">
        <v>44347</v>
      </c>
      <c r="C45" s="713" t="s">
        <v>709</v>
      </c>
      <c r="D45" s="715">
        <v>216636</v>
      </c>
    </row>
    <row r="46" spans="1:4" x14ac:dyDescent="0.35">
      <c r="A46" s="713" t="s">
        <v>720</v>
      </c>
      <c r="B46" s="714">
        <v>44347</v>
      </c>
      <c r="C46" s="713" t="s">
        <v>707</v>
      </c>
      <c r="D46" s="715">
        <v>174818</v>
      </c>
    </row>
    <row r="47" spans="1:4" x14ac:dyDescent="0.35">
      <c r="A47" s="713" t="s">
        <v>720</v>
      </c>
      <c r="B47" s="714">
        <v>44347</v>
      </c>
      <c r="C47" s="713" t="s">
        <v>714</v>
      </c>
      <c r="D47" s="715">
        <v>58180.800000000003</v>
      </c>
    </row>
    <row r="48" spans="1:4" s="683" customFormat="1" x14ac:dyDescent="0.35">
      <c r="A48" s="716" t="s">
        <v>769</v>
      </c>
      <c r="B48" s="717"/>
      <c r="C48" s="716"/>
      <c r="D48" s="718">
        <f>SUM(D44:D47)</f>
        <v>452017.8</v>
      </c>
    </row>
    <row r="49" spans="1:4" x14ac:dyDescent="0.35">
      <c r="A49" s="684"/>
      <c r="B49" s="719"/>
      <c r="C49" s="684"/>
      <c r="D49" s="676"/>
    </row>
    <row r="50" spans="1:4" x14ac:dyDescent="0.35">
      <c r="A50" s="684" t="s">
        <v>721</v>
      </c>
      <c r="B50" s="719">
        <v>44347</v>
      </c>
      <c r="C50" s="684" t="s">
        <v>710</v>
      </c>
      <c r="D50" s="676">
        <v>0</v>
      </c>
    </row>
    <row r="51" spans="1:4" x14ac:dyDescent="0.35">
      <c r="A51" s="684" t="s">
        <v>721</v>
      </c>
      <c r="B51" s="719">
        <v>44347</v>
      </c>
      <c r="C51" s="684" t="s">
        <v>707</v>
      </c>
      <c r="D51" s="676">
        <v>0</v>
      </c>
    </row>
    <row r="52" spans="1:4" x14ac:dyDescent="0.35">
      <c r="A52" s="684" t="s">
        <v>721</v>
      </c>
      <c r="B52" s="719">
        <v>44347</v>
      </c>
      <c r="C52" s="684" t="s">
        <v>719</v>
      </c>
      <c r="D52" s="676">
        <v>0</v>
      </c>
    </row>
    <row r="53" spans="1:4" x14ac:dyDescent="0.35">
      <c r="A53" s="684" t="s">
        <v>721</v>
      </c>
      <c r="B53" s="719">
        <v>44347</v>
      </c>
      <c r="C53" s="684" t="s">
        <v>714</v>
      </c>
      <c r="D53" s="676">
        <v>321679.3</v>
      </c>
    </row>
    <row r="54" spans="1:4" x14ac:dyDescent="0.35">
      <c r="A54" s="684" t="s">
        <v>721</v>
      </c>
      <c r="B54" s="719">
        <v>44347</v>
      </c>
      <c r="C54" s="684" t="s">
        <v>718</v>
      </c>
      <c r="D54" s="676">
        <v>0</v>
      </c>
    </row>
    <row r="55" spans="1:4" x14ac:dyDescent="0.35">
      <c r="A55" s="684" t="s">
        <v>721</v>
      </c>
      <c r="B55" s="719">
        <v>44347</v>
      </c>
      <c r="C55" s="684" t="s">
        <v>722</v>
      </c>
      <c r="D55" s="676">
        <v>0</v>
      </c>
    </row>
    <row r="56" spans="1:4" x14ac:dyDescent="0.35">
      <c r="A56" s="684" t="s">
        <v>721</v>
      </c>
      <c r="B56" s="719">
        <v>44347</v>
      </c>
      <c r="C56" s="684" t="s">
        <v>712</v>
      </c>
      <c r="D56" s="676">
        <v>756</v>
      </c>
    </row>
    <row r="57" spans="1:4" x14ac:dyDescent="0.35">
      <c r="A57" s="684" t="s">
        <v>721</v>
      </c>
      <c r="B57" s="719">
        <v>44347</v>
      </c>
      <c r="C57" s="684" t="s">
        <v>713</v>
      </c>
      <c r="D57" s="676">
        <v>4892</v>
      </c>
    </row>
    <row r="58" spans="1:4" x14ac:dyDescent="0.35">
      <c r="A58" s="684" t="s">
        <v>721</v>
      </c>
      <c r="B58" s="719">
        <v>44347</v>
      </c>
      <c r="C58" s="684" t="s">
        <v>709</v>
      </c>
      <c r="D58" s="676">
        <v>0</v>
      </c>
    </row>
    <row r="59" spans="1:4" x14ac:dyDescent="0.35">
      <c r="A59" s="684" t="s">
        <v>721</v>
      </c>
      <c r="B59" s="719">
        <v>44347</v>
      </c>
      <c r="C59" s="684" t="s">
        <v>724</v>
      </c>
      <c r="D59" s="676">
        <v>0</v>
      </c>
    </row>
    <row r="60" spans="1:4" s="683" customFormat="1" x14ac:dyDescent="0.35">
      <c r="A60" s="686" t="s">
        <v>769</v>
      </c>
      <c r="B60" s="720"/>
      <c r="C60" s="686"/>
      <c r="D60" s="677">
        <f>SUM(D50:D59)</f>
        <v>327327.3</v>
      </c>
    </row>
    <row r="61" spans="1:4" x14ac:dyDescent="0.35">
      <c r="A61" s="684"/>
      <c r="B61" s="719"/>
      <c r="C61" s="684"/>
      <c r="D61" s="676"/>
    </row>
    <row r="62" spans="1:4" x14ac:dyDescent="0.35">
      <c r="A62" s="713" t="s">
        <v>723</v>
      </c>
      <c r="B62" s="714">
        <v>44347</v>
      </c>
      <c r="C62" s="713" t="s">
        <v>770</v>
      </c>
      <c r="D62" s="715">
        <v>0</v>
      </c>
    </row>
    <row r="63" spans="1:4" x14ac:dyDescent="0.35">
      <c r="A63" s="713" t="s">
        <v>723</v>
      </c>
      <c r="B63" s="714">
        <v>44347</v>
      </c>
      <c r="C63" s="713" t="s">
        <v>722</v>
      </c>
      <c r="D63" s="715">
        <v>-152445.95000000001</v>
      </c>
    </row>
    <row r="64" spans="1:4" x14ac:dyDescent="0.35">
      <c r="A64" s="713" t="s">
        <v>723</v>
      </c>
      <c r="B64" s="714">
        <v>44347</v>
      </c>
      <c r="C64" s="713" t="s">
        <v>714</v>
      </c>
      <c r="D64" s="715">
        <v>3602796.6</v>
      </c>
    </row>
    <row r="65" spans="1:4" x14ac:dyDescent="0.35">
      <c r="A65" s="713" t="s">
        <v>723</v>
      </c>
      <c r="B65" s="714">
        <v>44347</v>
      </c>
      <c r="C65" s="713" t="s">
        <v>707</v>
      </c>
      <c r="D65" s="715">
        <v>12321216.84</v>
      </c>
    </row>
    <row r="66" spans="1:4" x14ac:dyDescent="0.35">
      <c r="A66" s="713" t="s">
        <v>723</v>
      </c>
      <c r="B66" s="714">
        <v>44347</v>
      </c>
      <c r="C66" s="713" t="s">
        <v>718</v>
      </c>
      <c r="D66" s="715">
        <v>-12027</v>
      </c>
    </row>
    <row r="67" spans="1:4" x14ac:dyDescent="0.35">
      <c r="A67" s="713" t="s">
        <v>723</v>
      </c>
      <c r="B67" s="714">
        <v>44347</v>
      </c>
      <c r="C67" s="713" t="s">
        <v>724</v>
      </c>
      <c r="D67" s="715">
        <v>61170.45</v>
      </c>
    </row>
    <row r="68" spans="1:4" x14ac:dyDescent="0.35">
      <c r="A68" s="713" t="s">
        <v>723</v>
      </c>
      <c r="B68" s="714">
        <v>44347</v>
      </c>
      <c r="C68" s="713" t="s">
        <v>719</v>
      </c>
      <c r="D68" s="715">
        <v>18483.86</v>
      </c>
    </row>
    <row r="69" spans="1:4" x14ac:dyDescent="0.35">
      <c r="A69" s="713" t="s">
        <v>723</v>
      </c>
      <c r="B69" s="714">
        <v>44347</v>
      </c>
      <c r="C69" s="713" t="s">
        <v>713</v>
      </c>
      <c r="D69" s="715">
        <v>52321</v>
      </c>
    </row>
    <row r="70" spans="1:4" x14ac:dyDescent="0.35">
      <c r="A70" s="713" t="s">
        <v>723</v>
      </c>
      <c r="B70" s="714">
        <v>44347</v>
      </c>
      <c r="C70" s="713" t="s">
        <v>712</v>
      </c>
      <c r="D70" s="715">
        <v>13439.8</v>
      </c>
    </row>
    <row r="71" spans="1:4" x14ac:dyDescent="0.35">
      <c r="A71" s="713" t="s">
        <v>723</v>
      </c>
      <c r="B71" s="714">
        <v>44347</v>
      </c>
      <c r="C71" s="713" t="s">
        <v>709</v>
      </c>
      <c r="D71" s="715">
        <v>1451789.4</v>
      </c>
    </row>
    <row r="72" spans="1:4" s="683" customFormat="1" x14ac:dyDescent="0.35">
      <c r="A72" s="716" t="s">
        <v>769</v>
      </c>
      <c r="B72" s="717"/>
      <c r="C72" s="716"/>
      <c r="D72" s="718">
        <f>SUM(D62:D71)</f>
        <v>17356745</v>
      </c>
    </row>
    <row r="73" spans="1:4" x14ac:dyDescent="0.35">
      <c r="A73" s="684"/>
      <c r="B73" s="719"/>
      <c r="C73" s="684"/>
      <c r="D73" s="676"/>
    </row>
    <row r="74" spans="1:4" x14ac:dyDescent="0.35">
      <c r="A74" s="713" t="s">
        <v>725</v>
      </c>
      <c r="B74" s="714">
        <v>44347</v>
      </c>
      <c r="C74" s="713" t="s">
        <v>707</v>
      </c>
      <c r="D74" s="715">
        <v>132875</v>
      </c>
    </row>
    <row r="75" spans="1:4" x14ac:dyDescent="0.35">
      <c r="A75" s="713" t="s">
        <v>725</v>
      </c>
      <c r="B75" s="714">
        <v>44347</v>
      </c>
      <c r="C75" s="713" t="s">
        <v>718</v>
      </c>
      <c r="D75" s="715">
        <v>-37584</v>
      </c>
    </row>
    <row r="76" spans="1:4" x14ac:dyDescent="0.35">
      <c r="A76" s="713" t="s">
        <v>725</v>
      </c>
      <c r="B76" s="714">
        <v>44347</v>
      </c>
      <c r="C76" s="713" t="s">
        <v>722</v>
      </c>
      <c r="D76" s="715">
        <v>-138570.32</v>
      </c>
    </row>
    <row r="77" spans="1:4" x14ac:dyDescent="0.35">
      <c r="A77" s="713" t="s">
        <v>725</v>
      </c>
      <c r="B77" s="714">
        <v>44347</v>
      </c>
      <c r="C77" s="713" t="s">
        <v>712</v>
      </c>
      <c r="D77" s="715">
        <v>240</v>
      </c>
    </row>
    <row r="78" spans="1:4" x14ac:dyDescent="0.35">
      <c r="A78" s="713" t="s">
        <v>725</v>
      </c>
      <c r="B78" s="714">
        <v>44347</v>
      </c>
      <c r="C78" s="713" t="s">
        <v>714</v>
      </c>
      <c r="D78" s="715">
        <v>326393.90000000002</v>
      </c>
    </row>
    <row r="79" spans="1:4" x14ac:dyDescent="0.35">
      <c r="A79" s="713" t="s">
        <v>725</v>
      </c>
      <c r="B79" s="714">
        <v>44347</v>
      </c>
      <c r="C79" s="713" t="s">
        <v>709</v>
      </c>
      <c r="D79" s="715">
        <v>1284022.6299999999</v>
      </c>
    </row>
    <row r="80" spans="1:4" x14ac:dyDescent="0.35">
      <c r="A80" s="713" t="s">
        <v>725</v>
      </c>
      <c r="B80" s="714">
        <v>44347</v>
      </c>
      <c r="C80" s="713" t="s">
        <v>713</v>
      </c>
      <c r="D80" s="715">
        <v>2608</v>
      </c>
    </row>
    <row r="81" spans="1:4" s="683" customFormat="1" x14ac:dyDescent="0.35">
      <c r="A81" s="716" t="s">
        <v>769</v>
      </c>
      <c r="B81" s="717"/>
      <c r="C81" s="716"/>
      <c r="D81" s="718">
        <f>SUM(D74:D80)</f>
        <v>1569985.21</v>
      </c>
    </row>
    <row r="82" spans="1:4" x14ac:dyDescent="0.35">
      <c r="A82" s="684"/>
      <c r="B82" s="719"/>
      <c r="C82" s="684"/>
      <c r="D82" s="676"/>
    </row>
    <row r="83" spans="1:4" x14ac:dyDescent="0.35">
      <c r="A83" s="713" t="s">
        <v>726</v>
      </c>
      <c r="B83" s="714">
        <v>44347</v>
      </c>
      <c r="C83" s="713" t="s">
        <v>707</v>
      </c>
      <c r="D83" s="715">
        <v>1742971</v>
      </c>
    </row>
    <row r="84" spans="1:4" x14ac:dyDescent="0.35">
      <c r="A84" s="713" t="s">
        <v>726</v>
      </c>
      <c r="B84" s="714">
        <v>44347</v>
      </c>
      <c r="C84" s="713" t="s">
        <v>719</v>
      </c>
      <c r="D84" s="715">
        <v>12870.07</v>
      </c>
    </row>
    <row r="85" spans="1:4" x14ac:dyDescent="0.35">
      <c r="A85" s="713" t="s">
        <v>726</v>
      </c>
      <c r="B85" s="714">
        <v>44347</v>
      </c>
      <c r="C85" s="713" t="s">
        <v>713</v>
      </c>
      <c r="D85" s="715">
        <v>7880</v>
      </c>
    </row>
    <row r="86" spans="1:4" x14ac:dyDescent="0.35">
      <c r="A86" s="713" t="s">
        <v>726</v>
      </c>
      <c r="B86" s="714">
        <v>44347</v>
      </c>
      <c r="C86" s="713" t="s">
        <v>709</v>
      </c>
      <c r="D86" s="715">
        <v>1081442.99</v>
      </c>
    </row>
    <row r="87" spans="1:4" x14ac:dyDescent="0.35">
      <c r="A87" s="713" t="s">
        <v>726</v>
      </c>
      <c r="B87" s="714">
        <v>44347</v>
      </c>
      <c r="C87" s="713" t="s">
        <v>714</v>
      </c>
      <c r="D87" s="715">
        <v>725949.3</v>
      </c>
    </row>
    <row r="88" spans="1:4" x14ac:dyDescent="0.35">
      <c r="A88" s="713" t="s">
        <v>726</v>
      </c>
      <c r="B88" s="714">
        <v>44347</v>
      </c>
      <c r="C88" s="713" t="s">
        <v>722</v>
      </c>
      <c r="D88" s="715">
        <v>-290018.58</v>
      </c>
    </row>
    <row r="89" spans="1:4" x14ac:dyDescent="0.35">
      <c r="A89" s="713" t="s">
        <v>726</v>
      </c>
      <c r="B89" s="714">
        <v>44347</v>
      </c>
      <c r="C89" s="713" t="s">
        <v>712</v>
      </c>
      <c r="D89" s="715">
        <v>2929.1</v>
      </c>
    </row>
    <row r="90" spans="1:4" s="683" customFormat="1" x14ac:dyDescent="0.35">
      <c r="A90" s="716" t="s">
        <v>769</v>
      </c>
      <c r="B90" s="717"/>
      <c r="C90" s="716"/>
      <c r="D90" s="718">
        <f>SUM(D83:D89)</f>
        <v>3284023.8800000004</v>
      </c>
    </row>
    <row r="91" spans="1:4" x14ac:dyDescent="0.35">
      <c r="A91" s="684"/>
      <c r="B91" s="719"/>
      <c r="C91" s="684"/>
      <c r="D91" s="676"/>
    </row>
    <row r="92" spans="1:4" x14ac:dyDescent="0.35">
      <c r="A92" s="713" t="s">
        <v>45</v>
      </c>
      <c r="B92" s="714">
        <v>44347</v>
      </c>
      <c r="C92" s="713" t="s">
        <v>712</v>
      </c>
      <c r="D92" s="715">
        <v>370</v>
      </c>
    </row>
    <row r="93" spans="1:4" x14ac:dyDescent="0.35">
      <c r="A93" s="713" t="s">
        <v>45</v>
      </c>
      <c r="B93" s="714">
        <v>44347</v>
      </c>
      <c r="C93" s="713" t="s">
        <v>709</v>
      </c>
      <c r="D93" s="715">
        <v>66943.490000000005</v>
      </c>
    </row>
    <row r="94" spans="1:4" x14ac:dyDescent="0.35">
      <c r="A94" s="713" t="s">
        <v>45</v>
      </c>
      <c r="B94" s="714">
        <v>44347</v>
      </c>
      <c r="C94" s="713" t="s">
        <v>714</v>
      </c>
      <c r="D94" s="715">
        <v>17984.3</v>
      </c>
    </row>
    <row r="95" spans="1:4" s="683" customFormat="1" x14ac:dyDescent="0.35">
      <c r="A95" s="716" t="s">
        <v>769</v>
      </c>
      <c r="B95" s="717"/>
      <c r="C95" s="716"/>
      <c r="D95" s="718">
        <f>SUM(D92:D94)</f>
        <v>85297.790000000008</v>
      </c>
    </row>
    <row r="96" spans="1:4" x14ac:dyDescent="0.35">
      <c r="A96" s="684"/>
      <c r="B96" s="719"/>
      <c r="C96" s="684"/>
      <c r="D96" s="676"/>
    </row>
    <row r="97" spans="1:4" x14ac:dyDescent="0.35">
      <c r="A97" s="713" t="s">
        <v>727</v>
      </c>
      <c r="B97" s="714">
        <v>44347</v>
      </c>
      <c r="C97" s="713" t="s">
        <v>707</v>
      </c>
      <c r="D97" s="715">
        <v>36059</v>
      </c>
    </row>
    <row r="98" spans="1:4" x14ac:dyDescent="0.35">
      <c r="A98" s="713" t="s">
        <v>727</v>
      </c>
      <c r="B98" s="714">
        <v>44347</v>
      </c>
      <c r="C98" s="713" t="s">
        <v>714</v>
      </c>
      <c r="D98" s="715">
        <v>5904.3</v>
      </c>
    </row>
    <row r="99" spans="1:4" x14ac:dyDescent="0.35">
      <c r="A99" s="713" t="s">
        <v>727</v>
      </c>
      <c r="B99" s="714">
        <v>44347</v>
      </c>
      <c r="C99" s="713" t="s">
        <v>713</v>
      </c>
      <c r="D99" s="715">
        <v>50</v>
      </c>
    </row>
    <row r="100" spans="1:4" s="683" customFormat="1" x14ac:dyDescent="0.35">
      <c r="A100" s="716" t="s">
        <v>769</v>
      </c>
      <c r="B100" s="717"/>
      <c r="C100" s="716"/>
      <c r="D100" s="718">
        <f>SUM(D97:D99)</f>
        <v>42013.3</v>
      </c>
    </row>
    <row r="101" spans="1:4" x14ac:dyDescent="0.35">
      <c r="A101" s="684"/>
      <c r="B101" s="719"/>
      <c r="C101" s="684"/>
      <c r="D101" s="676"/>
    </row>
    <row r="102" spans="1:4" x14ac:dyDescent="0.35">
      <c r="A102" s="713" t="s">
        <v>728</v>
      </c>
      <c r="B102" s="714">
        <v>44347</v>
      </c>
      <c r="C102" s="713" t="s">
        <v>707</v>
      </c>
      <c r="D102" s="715">
        <v>876972</v>
      </c>
    </row>
    <row r="103" spans="1:4" x14ac:dyDescent="0.35">
      <c r="A103" s="713" t="s">
        <v>728</v>
      </c>
      <c r="B103" s="714">
        <v>44347</v>
      </c>
      <c r="C103" s="713" t="s">
        <v>714</v>
      </c>
      <c r="D103" s="715">
        <v>210181.9</v>
      </c>
    </row>
    <row r="104" spans="1:4" x14ac:dyDescent="0.35">
      <c r="A104" s="713" t="s">
        <v>728</v>
      </c>
      <c r="B104" s="714">
        <v>44347</v>
      </c>
      <c r="C104" s="713" t="s">
        <v>713</v>
      </c>
      <c r="D104" s="715">
        <v>2860.5</v>
      </c>
    </row>
    <row r="105" spans="1:4" x14ac:dyDescent="0.35">
      <c r="A105" s="713" t="s">
        <v>728</v>
      </c>
      <c r="B105" s="714">
        <v>44347</v>
      </c>
      <c r="C105" s="713" t="s">
        <v>709</v>
      </c>
      <c r="D105" s="715">
        <v>256316.98</v>
      </c>
    </row>
    <row r="106" spans="1:4" x14ac:dyDescent="0.35">
      <c r="A106" s="713" t="s">
        <v>728</v>
      </c>
      <c r="B106" s="714">
        <v>44347</v>
      </c>
      <c r="C106" s="713" t="s">
        <v>712</v>
      </c>
      <c r="D106" s="715">
        <v>294</v>
      </c>
    </row>
    <row r="107" spans="1:4" x14ac:dyDescent="0.35">
      <c r="A107" s="713" t="s">
        <v>728</v>
      </c>
      <c r="B107" s="714">
        <v>44347</v>
      </c>
      <c r="C107" s="713" t="s">
        <v>718</v>
      </c>
      <c r="D107" s="715">
        <v>-30044</v>
      </c>
    </row>
    <row r="108" spans="1:4" x14ac:dyDescent="0.35">
      <c r="A108" s="713" t="s">
        <v>728</v>
      </c>
      <c r="B108" s="714">
        <v>44347</v>
      </c>
      <c r="C108" s="713" t="s">
        <v>719</v>
      </c>
      <c r="D108" s="715">
        <v>19364.169999999998</v>
      </c>
    </row>
    <row r="109" spans="1:4" s="683" customFormat="1" x14ac:dyDescent="0.35">
      <c r="A109" s="716" t="s">
        <v>769</v>
      </c>
      <c r="B109" s="717"/>
      <c r="C109" s="716"/>
      <c r="D109" s="718">
        <f>SUM(D102:D108)</f>
        <v>1335945.5499999998</v>
      </c>
    </row>
    <row r="110" spans="1:4" x14ac:dyDescent="0.35">
      <c r="A110" s="684"/>
      <c r="B110" s="719"/>
      <c r="C110" s="684"/>
      <c r="D110" s="676"/>
    </row>
    <row r="111" spans="1:4" x14ac:dyDescent="0.35">
      <c r="A111" s="713" t="s">
        <v>729</v>
      </c>
      <c r="B111" s="714">
        <v>44347</v>
      </c>
      <c r="C111" s="713" t="s">
        <v>713</v>
      </c>
      <c r="D111" s="715">
        <v>167</v>
      </c>
    </row>
    <row r="112" spans="1:4" x14ac:dyDescent="0.35">
      <c r="A112" s="713" t="s">
        <v>729</v>
      </c>
      <c r="B112" s="714">
        <v>44347</v>
      </c>
      <c r="C112" s="713" t="s">
        <v>712</v>
      </c>
      <c r="D112" s="715">
        <v>902.9</v>
      </c>
    </row>
    <row r="113" spans="1:4" x14ac:dyDescent="0.35">
      <c r="A113" s="713" t="s">
        <v>729</v>
      </c>
      <c r="B113" s="714">
        <v>44347</v>
      </c>
      <c r="C113" s="713" t="s">
        <v>714</v>
      </c>
      <c r="D113" s="715">
        <v>48190.400000000001</v>
      </c>
    </row>
    <row r="114" spans="1:4" x14ac:dyDescent="0.35">
      <c r="A114" s="713" t="s">
        <v>729</v>
      </c>
      <c r="B114" s="714">
        <v>44347</v>
      </c>
      <c r="C114" s="713" t="s">
        <v>707</v>
      </c>
      <c r="D114" s="715">
        <v>208113</v>
      </c>
    </row>
    <row r="115" spans="1:4" s="683" customFormat="1" x14ac:dyDescent="0.35">
      <c r="A115" s="716" t="s">
        <v>769</v>
      </c>
      <c r="B115" s="717"/>
      <c r="C115" s="716"/>
      <c r="D115" s="718">
        <f>SUM(D111:D114)</f>
        <v>257373.3</v>
      </c>
    </row>
    <row r="116" spans="1:4" x14ac:dyDescent="0.35">
      <c r="A116" s="684"/>
      <c r="B116" s="719"/>
      <c r="C116" s="684"/>
      <c r="D116" s="676"/>
    </row>
    <row r="117" spans="1:4" x14ac:dyDescent="0.35">
      <c r="A117" s="713" t="s">
        <v>730</v>
      </c>
      <c r="B117" s="714">
        <v>44347</v>
      </c>
      <c r="C117" s="713" t="s">
        <v>719</v>
      </c>
      <c r="D117" s="715">
        <v>5330.71</v>
      </c>
    </row>
    <row r="118" spans="1:4" x14ac:dyDescent="0.35">
      <c r="A118" s="713" t="s">
        <v>730</v>
      </c>
      <c r="B118" s="714">
        <v>44347</v>
      </c>
      <c r="C118" s="713" t="s">
        <v>713</v>
      </c>
      <c r="D118" s="715">
        <v>7548.5</v>
      </c>
    </row>
    <row r="119" spans="1:4" x14ac:dyDescent="0.35">
      <c r="A119" s="713" t="s">
        <v>730</v>
      </c>
      <c r="B119" s="714">
        <v>44347</v>
      </c>
      <c r="C119" s="713" t="s">
        <v>712</v>
      </c>
      <c r="D119" s="715">
        <v>1357</v>
      </c>
    </row>
    <row r="120" spans="1:4" x14ac:dyDescent="0.35">
      <c r="A120" s="713" t="s">
        <v>730</v>
      </c>
      <c r="B120" s="714">
        <v>44347</v>
      </c>
      <c r="C120" s="713" t="s">
        <v>709</v>
      </c>
      <c r="D120" s="715">
        <v>675729.44</v>
      </c>
    </row>
    <row r="121" spans="1:4" x14ac:dyDescent="0.35">
      <c r="A121" s="713" t="s">
        <v>730</v>
      </c>
      <c r="B121" s="714">
        <v>44347</v>
      </c>
      <c r="C121" s="713" t="s">
        <v>707</v>
      </c>
      <c r="D121" s="715">
        <v>1210880</v>
      </c>
    </row>
    <row r="122" spans="1:4" x14ac:dyDescent="0.35">
      <c r="A122" s="713" t="s">
        <v>730</v>
      </c>
      <c r="B122" s="714">
        <v>44347</v>
      </c>
      <c r="C122" s="713" t="s">
        <v>718</v>
      </c>
      <c r="D122" s="715">
        <v>-221095</v>
      </c>
    </row>
    <row r="123" spans="1:4" x14ac:dyDescent="0.35">
      <c r="A123" s="713" t="s">
        <v>730</v>
      </c>
      <c r="B123" s="714">
        <v>44347</v>
      </c>
      <c r="C123" s="713" t="s">
        <v>722</v>
      </c>
      <c r="D123" s="715">
        <v>-168590.37</v>
      </c>
    </row>
    <row r="124" spans="1:4" x14ac:dyDescent="0.35">
      <c r="A124" s="713" t="s">
        <v>730</v>
      </c>
      <c r="B124" s="714">
        <v>44347</v>
      </c>
      <c r="C124" s="713" t="s">
        <v>714</v>
      </c>
      <c r="D124" s="715">
        <v>315771.2</v>
      </c>
    </row>
    <row r="125" spans="1:4" s="683" customFormat="1" x14ac:dyDescent="0.35">
      <c r="A125" s="716" t="s">
        <v>769</v>
      </c>
      <c r="B125" s="717"/>
      <c r="C125" s="716"/>
      <c r="D125" s="718">
        <f>SUM(D117:D124)</f>
        <v>1826931.4799999997</v>
      </c>
    </row>
    <row r="126" spans="1:4" x14ac:dyDescent="0.35">
      <c r="A126" s="684"/>
      <c r="B126" s="719"/>
      <c r="C126" s="684"/>
      <c r="D126" s="676"/>
    </row>
    <row r="127" spans="1:4" x14ac:dyDescent="0.35">
      <c r="A127" s="713" t="s">
        <v>731</v>
      </c>
      <c r="B127" s="714">
        <v>44347</v>
      </c>
      <c r="C127" s="713" t="s">
        <v>714</v>
      </c>
      <c r="D127" s="715">
        <v>1040580.7</v>
      </c>
    </row>
    <row r="128" spans="1:4" x14ac:dyDescent="0.35">
      <c r="A128" s="713" t="s">
        <v>731</v>
      </c>
      <c r="B128" s="714">
        <v>44347</v>
      </c>
      <c r="C128" s="713" t="s">
        <v>710</v>
      </c>
      <c r="D128" s="715">
        <v>2005.23</v>
      </c>
    </row>
    <row r="129" spans="1:4" x14ac:dyDescent="0.35">
      <c r="A129" s="713" t="s">
        <v>731</v>
      </c>
      <c r="B129" s="714">
        <v>44347</v>
      </c>
      <c r="C129" s="713" t="s">
        <v>707</v>
      </c>
      <c r="D129" s="715">
        <v>6500473.3200000003</v>
      </c>
    </row>
    <row r="130" spans="1:4" x14ac:dyDescent="0.35">
      <c r="A130" s="713" t="s">
        <v>731</v>
      </c>
      <c r="B130" s="714">
        <v>44347</v>
      </c>
      <c r="C130" s="713" t="s">
        <v>722</v>
      </c>
      <c r="D130" s="715">
        <v>-518482.16</v>
      </c>
    </row>
    <row r="131" spans="1:4" x14ac:dyDescent="0.35">
      <c r="A131" s="713" t="s">
        <v>731</v>
      </c>
      <c r="B131" s="714">
        <v>44347</v>
      </c>
      <c r="C131" s="713" t="s">
        <v>712</v>
      </c>
      <c r="D131" s="715">
        <v>2273.4</v>
      </c>
    </row>
    <row r="132" spans="1:4" x14ac:dyDescent="0.35">
      <c r="A132" s="713" t="s">
        <v>731</v>
      </c>
      <c r="B132" s="714">
        <v>44347</v>
      </c>
      <c r="C132" s="713" t="s">
        <v>709</v>
      </c>
      <c r="D132" s="715">
        <v>45824.43</v>
      </c>
    </row>
    <row r="133" spans="1:4" x14ac:dyDescent="0.35">
      <c r="A133" s="713" t="s">
        <v>731</v>
      </c>
      <c r="B133" s="714">
        <v>44347</v>
      </c>
      <c r="C133" s="713" t="s">
        <v>719</v>
      </c>
      <c r="D133" s="715">
        <v>4055.87</v>
      </c>
    </row>
    <row r="134" spans="1:4" x14ac:dyDescent="0.35">
      <c r="A134" s="713" t="s">
        <v>731</v>
      </c>
      <c r="B134" s="714">
        <v>44347</v>
      </c>
      <c r="C134" s="713" t="s">
        <v>713</v>
      </c>
      <c r="D134" s="715">
        <v>18746</v>
      </c>
    </row>
    <row r="135" spans="1:4" s="683" customFormat="1" x14ac:dyDescent="0.35">
      <c r="A135" s="716" t="s">
        <v>769</v>
      </c>
      <c r="B135" s="717"/>
      <c r="C135" s="716"/>
      <c r="D135" s="718">
        <f>SUM(D127:D134)</f>
        <v>7095476.79</v>
      </c>
    </row>
    <row r="136" spans="1:4" x14ac:dyDescent="0.35">
      <c r="A136" s="684"/>
      <c r="B136" s="719"/>
      <c r="C136" s="684"/>
      <c r="D136" s="676"/>
    </row>
    <row r="137" spans="1:4" x14ac:dyDescent="0.35">
      <c r="A137" s="713" t="s">
        <v>732</v>
      </c>
      <c r="B137" s="714">
        <v>44347</v>
      </c>
      <c r="C137" s="713" t="s">
        <v>714</v>
      </c>
      <c r="D137" s="715">
        <v>92056.7</v>
      </c>
    </row>
    <row r="138" spans="1:4" x14ac:dyDescent="0.35">
      <c r="A138" s="713" t="s">
        <v>732</v>
      </c>
      <c r="B138" s="714">
        <v>44347</v>
      </c>
      <c r="C138" s="713" t="s">
        <v>707</v>
      </c>
      <c r="D138" s="715">
        <v>363030</v>
      </c>
    </row>
    <row r="139" spans="1:4" x14ac:dyDescent="0.35">
      <c r="A139" s="713" t="s">
        <v>732</v>
      </c>
      <c r="B139" s="714">
        <v>44347</v>
      </c>
      <c r="C139" s="713" t="s">
        <v>712</v>
      </c>
      <c r="D139" s="715">
        <v>1428.6</v>
      </c>
    </row>
    <row r="140" spans="1:4" x14ac:dyDescent="0.35">
      <c r="A140" s="713" t="s">
        <v>732</v>
      </c>
      <c r="B140" s="714">
        <v>44347</v>
      </c>
      <c r="C140" s="713" t="s">
        <v>713</v>
      </c>
      <c r="D140" s="715">
        <v>1798</v>
      </c>
    </row>
    <row r="141" spans="1:4" x14ac:dyDescent="0.35">
      <c r="A141" s="713" t="s">
        <v>732</v>
      </c>
      <c r="B141" s="714">
        <v>44347</v>
      </c>
      <c r="C141" s="713" t="s">
        <v>709</v>
      </c>
      <c r="D141" s="715">
        <v>4393.51</v>
      </c>
    </row>
    <row r="142" spans="1:4" s="683" customFormat="1" x14ac:dyDescent="0.35">
      <c r="A142" s="716" t="s">
        <v>769</v>
      </c>
      <c r="B142" s="717"/>
      <c r="C142" s="716"/>
      <c r="D142" s="718">
        <f>SUM(D137:D141)</f>
        <v>462706.81</v>
      </c>
    </row>
    <row r="143" spans="1:4" x14ac:dyDescent="0.35">
      <c r="A143" s="684"/>
      <c r="B143" s="719"/>
      <c r="C143" s="684"/>
      <c r="D143" s="676"/>
    </row>
    <row r="144" spans="1:4" x14ac:dyDescent="0.35">
      <c r="A144" s="713" t="s">
        <v>480</v>
      </c>
      <c r="B144" s="714">
        <v>44347</v>
      </c>
      <c r="C144" s="713" t="s">
        <v>714</v>
      </c>
      <c r="D144" s="715">
        <v>6896.7</v>
      </c>
    </row>
    <row r="145" spans="1:4" x14ac:dyDescent="0.35">
      <c r="A145" s="713" t="s">
        <v>480</v>
      </c>
      <c r="B145" s="714">
        <v>44347</v>
      </c>
      <c r="C145" s="713" t="s">
        <v>712</v>
      </c>
      <c r="D145" s="715">
        <v>100</v>
      </c>
    </row>
    <row r="146" spans="1:4" x14ac:dyDescent="0.35">
      <c r="A146" s="713" t="s">
        <v>480</v>
      </c>
      <c r="B146" s="714">
        <v>44347</v>
      </c>
      <c r="C146" s="713" t="s">
        <v>709</v>
      </c>
      <c r="D146" s="715">
        <v>22648.31</v>
      </c>
    </row>
    <row r="147" spans="1:4" s="683" customFormat="1" x14ac:dyDescent="0.35">
      <c r="A147" s="716" t="s">
        <v>769</v>
      </c>
      <c r="B147" s="717"/>
      <c r="C147" s="716"/>
      <c r="D147" s="718">
        <f>SUM(D144:D146)</f>
        <v>29645.010000000002</v>
      </c>
    </row>
    <row r="148" spans="1:4" x14ac:dyDescent="0.35">
      <c r="A148" s="684"/>
      <c r="B148" s="719"/>
      <c r="C148" s="684"/>
      <c r="D148" s="676"/>
    </row>
    <row r="149" spans="1:4" x14ac:dyDescent="0.35">
      <c r="A149" s="713" t="s">
        <v>512</v>
      </c>
      <c r="B149" s="714">
        <v>44347</v>
      </c>
      <c r="C149" s="713" t="s">
        <v>713</v>
      </c>
      <c r="D149" s="715">
        <v>958</v>
      </c>
    </row>
    <row r="150" spans="1:4" x14ac:dyDescent="0.35">
      <c r="A150" s="713" t="s">
        <v>512</v>
      </c>
      <c r="B150" s="714">
        <v>44347</v>
      </c>
      <c r="C150" s="713" t="s">
        <v>709</v>
      </c>
      <c r="D150" s="715">
        <v>39048.9</v>
      </c>
    </row>
    <row r="151" spans="1:4" x14ac:dyDescent="0.35">
      <c r="A151" s="713" t="s">
        <v>512</v>
      </c>
      <c r="B151" s="714">
        <v>44347</v>
      </c>
      <c r="C151" s="713" t="s">
        <v>714</v>
      </c>
      <c r="D151" s="715">
        <v>8388.7999999999993</v>
      </c>
    </row>
    <row r="152" spans="1:4" s="683" customFormat="1" x14ac:dyDescent="0.35">
      <c r="A152" s="716" t="s">
        <v>769</v>
      </c>
      <c r="B152" s="717"/>
      <c r="C152" s="716"/>
      <c r="D152" s="718">
        <f>SUM(D149:D151)</f>
        <v>48395.7</v>
      </c>
    </row>
    <row r="153" spans="1:4" x14ac:dyDescent="0.35">
      <c r="A153" s="684"/>
      <c r="B153" s="719"/>
      <c r="C153" s="684"/>
      <c r="D153" s="676"/>
    </row>
    <row r="154" spans="1:4" x14ac:dyDescent="0.35">
      <c r="A154" s="713" t="s">
        <v>481</v>
      </c>
      <c r="B154" s="714">
        <v>44347</v>
      </c>
      <c r="C154" s="713" t="s">
        <v>709</v>
      </c>
      <c r="D154" s="715">
        <v>58355.29</v>
      </c>
    </row>
    <row r="155" spans="1:4" x14ac:dyDescent="0.35">
      <c r="A155" s="713" t="s">
        <v>481</v>
      </c>
      <c r="B155" s="714">
        <v>44347</v>
      </c>
      <c r="C155" s="713" t="s">
        <v>712</v>
      </c>
      <c r="D155" s="715">
        <v>120</v>
      </c>
    </row>
    <row r="156" spans="1:4" x14ac:dyDescent="0.35">
      <c r="A156" s="713" t="s">
        <v>481</v>
      </c>
      <c r="B156" s="714">
        <v>44347</v>
      </c>
      <c r="C156" s="713" t="s">
        <v>714</v>
      </c>
      <c r="D156" s="715">
        <v>9480.6</v>
      </c>
    </row>
    <row r="157" spans="1:4" s="683" customFormat="1" x14ac:dyDescent="0.35">
      <c r="A157" s="716" t="s">
        <v>769</v>
      </c>
      <c r="B157" s="717"/>
      <c r="C157" s="716"/>
      <c r="D157" s="718">
        <f>SUM(D154:D156)</f>
        <v>67955.89</v>
      </c>
    </row>
    <row r="158" spans="1:4" x14ac:dyDescent="0.35">
      <c r="A158" s="684"/>
      <c r="B158" s="719"/>
      <c r="C158" s="684"/>
      <c r="D158" s="676"/>
    </row>
    <row r="159" spans="1:4" x14ac:dyDescent="0.35">
      <c r="A159" s="713" t="s">
        <v>734</v>
      </c>
      <c r="B159" s="714">
        <v>44347</v>
      </c>
      <c r="C159" s="713" t="s">
        <v>714</v>
      </c>
      <c r="D159" s="715">
        <v>4051.3</v>
      </c>
    </row>
    <row r="160" spans="1:4" x14ac:dyDescent="0.35">
      <c r="A160" s="713" t="s">
        <v>734</v>
      </c>
      <c r="B160" s="714">
        <v>44347</v>
      </c>
      <c r="C160" s="713" t="s">
        <v>709</v>
      </c>
      <c r="D160" s="715">
        <v>32744.61</v>
      </c>
    </row>
    <row r="161" spans="1:4" x14ac:dyDescent="0.35">
      <c r="A161" s="713" t="s">
        <v>734</v>
      </c>
      <c r="B161" s="714">
        <v>44347</v>
      </c>
      <c r="C161" s="713" t="s">
        <v>713</v>
      </c>
      <c r="D161" s="715">
        <v>160.5</v>
      </c>
    </row>
    <row r="162" spans="1:4" s="683" customFormat="1" x14ac:dyDescent="0.35">
      <c r="A162" s="716" t="s">
        <v>769</v>
      </c>
      <c r="B162" s="717"/>
      <c r="C162" s="716"/>
      <c r="D162" s="718">
        <f>SUM(D159:D161)</f>
        <v>36956.410000000003</v>
      </c>
    </row>
    <row r="163" spans="1:4" x14ac:dyDescent="0.35">
      <c r="A163" s="684"/>
      <c r="B163" s="719"/>
      <c r="C163" s="684"/>
      <c r="D163" s="676"/>
    </row>
    <row r="164" spans="1:4" x14ac:dyDescent="0.35">
      <c r="A164" s="713" t="s">
        <v>735</v>
      </c>
      <c r="B164" s="714">
        <v>44347</v>
      </c>
      <c r="C164" s="713" t="s">
        <v>707</v>
      </c>
      <c r="D164" s="715">
        <v>36440</v>
      </c>
    </row>
    <row r="165" spans="1:4" s="683" customFormat="1" x14ac:dyDescent="0.35">
      <c r="A165" s="716" t="s">
        <v>769</v>
      </c>
      <c r="B165" s="717"/>
      <c r="C165" s="716"/>
      <c r="D165" s="718">
        <f>SUM(D164)</f>
        <v>36440</v>
      </c>
    </row>
    <row r="166" spans="1:4" x14ac:dyDescent="0.35">
      <c r="A166" s="684"/>
      <c r="B166" s="719"/>
      <c r="C166" s="684"/>
      <c r="D166" s="676"/>
    </row>
    <row r="167" spans="1:4" x14ac:dyDescent="0.35">
      <c r="A167" s="713" t="s">
        <v>736</v>
      </c>
      <c r="B167" s="714">
        <v>44347</v>
      </c>
      <c r="C167" s="713" t="s">
        <v>714</v>
      </c>
      <c r="D167" s="715">
        <v>334697.3</v>
      </c>
    </row>
    <row r="168" spans="1:4" x14ac:dyDescent="0.35">
      <c r="A168" s="713" t="s">
        <v>736</v>
      </c>
      <c r="B168" s="714">
        <v>44347</v>
      </c>
      <c r="C168" s="713" t="s">
        <v>712</v>
      </c>
      <c r="D168" s="715">
        <v>1815</v>
      </c>
    </row>
    <row r="169" spans="1:4" x14ac:dyDescent="0.35">
      <c r="A169" s="713" t="s">
        <v>736</v>
      </c>
      <c r="B169" s="714">
        <v>44347</v>
      </c>
      <c r="C169" s="713" t="s">
        <v>707</v>
      </c>
      <c r="D169" s="715">
        <v>859441</v>
      </c>
    </row>
    <row r="170" spans="1:4" x14ac:dyDescent="0.35">
      <c r="A170" s="713" t="s">
        <v>736</v>
      </c>
      <c r="B170" s="714">
        <v>44347</v>
      </c>
      <c r="C170" s="713" t="s">
        <v>722</v>
      </c>
      <c r="D170" s="715">
        <v>-15724.4</v>
      </c>
    </row>
    <row r="171" spans="1:4" x14ac:dyDescent="0.35">
      <c r="A171" s="713" t="s">
        <v>736</v>
      </c>
      <c r="B171" s="714">
        <v>44347</v>
      </c>
      <c r="C171" s="713" t="s">
        <v>713</v>
      </c>
      <c r="D171" s="715">
        <v>2396.5</v>
      </c>
    </row>
    <row r="172" spans="1:4" x14ac:dyDescent="0.35">
      <c r="A172" s="713" t="s">
        <v>736</v>
      </c>
      <c r="B172" s="714">
        <v>44347</v>
      </c>
      <c r="C172" s="713" t="s">
        <v>709</v>
      </c>
      <c r="D172" s="715">
        <v>128433.71</v>
      </c>
    </row>
    <row r="173" spans="1:4" s="683" customFormat="1" x14ac:dyDescent="0.35">
      <c r="A173" s="716" t="s">
        <v>769</v>
      </c>
      <c r="B173" s="717"/>
      <c r="C173" s="716"/>
      <c r="D173" s="718">
        <f>SUM(D167:D172)</f>
        <v>1311059.1100000001</v>
      </c>
    </row>
    <row r="174" spans="1:4" x14ac:dyDescent="0.35">
      <c r="A174" s="684"/>
      <c r="B174" s="719"/>
      <c r="C174" s="684"/>
      <c r="D174" s="676"/>
    </row>
    <row r="175" spans="1:4" x14ac:dyDescent="0.35">
      <c r="A175" s="713" t="s">
        <v>511</v>
      </c>
      <c r="B175" s="714">
        <v>44347</v>
      </c>
      <c r="C175" s="713" t="s">
        <v>714</v>
      </c>
      <c r="D175" s="715">
        <v>1483.9</v>
      </c>
    </row>
    <row r="176" spans="1:4" x14ac:dyDescent="0.35">
      <c r="A176" s="713" t="s">
        <v>511</v>
      </c>
      <c r="B176" s="714">
        <v>44347</v>
      </c>
      <c r="C176" s="713" t="s">
        <v>709</v>
      </c>
      <c r="D176" s="715">
        <v>5013.22</v>
      </c>
    </row>
    <row r="177" spans="1:4" x14ac:dyDescent="0.35">
      <c r="A177" s="713" t="s">
        <v>511</v>
      </c>
      <c r="B177" s="714">
        <v>44347</v>
      </c>
      <c r="C177" s="713" t="s">
        <v>719</v>
      </c>
      <c r="D177" s="715">
        <v>2528.56</v>
      </c>
    </row>
    <row r="178" spans="1:4" s="683" customFormat="1" x14ac:dyDescent="0.35">
      <c r="A178" s="716" t="s">
        <v>769</v>
      </c>
      <c r="B178" s="717"/>
      <c r="C178" s="716"/>
      <c r="D178" s="718">
        <f>SUM(D175:D177)</f>
        <v>9025.68</v>
      </c>
    </row>
    <row r="179" spans="1:4" x14ac:dyDescent="0.35">
      <c r="A179" s="684"/>
      <c r="B179" s="719"/>
      <c r="C179" s="684"/>
      <c r="D179" s="676"/>
    </row>
    <row r="180" spans="1:4" x14ac:dyDescent="0.35">
      <c r="A180" s="713" t="s">
        <v>737</v>
      </c>
      <c r="B180" s="714">
        <v>44347</v>
      </c>
      <c r="C180" s="713" t="s">
        <v>712</v>
      </c>
      <c r="D180" s="715">
        <v>85</v>
      </c>
    </row>
    <row r="181" spans="1:4" x14ac:dyDescent="0.35">
      <c r="A181" s="713" t="s">
        <v>737</v>
      </c>
      <c r="B181" s="714">
        <v>44347</v>
      </c>
      <c r="C181" s="713" t="s">
        <v>713</v>
      </c>
      <c r="D181" s="715">
        <v>468</v>
      </c>
    </row>
    <row r="182" spans="1:4" x14ac:dyDescent="0.35">
      <c r="A182" s="713" t="s">
        <v>737</v>
      </c>
      <c r="B182" s="714">
        <v>44347</v>
      </c>
      <c r="C182" s="713" t="s">
        <v>714</v>
      </c>
      <c r="D182" s="715">
        <v>41804.199999999997</v>
      </c>
    </row>
    <row r="183" spans="1:4" ht="15" customHeight="1" x14ac:dyDescent="0.35">
      <c r="A183" s="713" t="s">
        <v>737</v>
      </c>
      <c r="B183" s="714">
        <v>44347</v>
      </c>
      <c r="C183" s="713" t="s">
        <v>707</v>
      </c>
      <c r="D183" s="715">
        <v>191331</v>
      </c>
    </row>
    <row r="184" spans="1:4" s="683" customFormat="1" x14ac:dyDescent="0.35">
      <c r="A184" s="716" t="s">
        <v>769</v>
      </c>
      <c r="B184" s="717"/>
      <c r="C184" s="716"/>
      <c r="D184" s="718">
        <f>SUM(D180:D183)</f>
        <v>233688.2</v>
      </c>
    </row>
    <row r="185" spans="1:4" x14ac:dyDescent="0.35">
      <c r="A185" s="684"/>
      <c r="B185" s="719"/>
      <c r="C185" s="684"/>
      <c r="D185" s="676"/>
    </row>
    <row r="186" spans="1:4" x14ac:dyDescent="0.35">
      <c r="A186" s="713" t="s">
        <v>738</v>
      </c>
      <c r="B186" s="714">
        <v>44347</v>
      </c>
      <c r="C186" s="713" t="s">
        <v>714</v>
      </c>
      <c r="D186" s="715">
        <v>20257.400000000001</v>
      </c>
    </row>
    <row r="187" spans="1:4" x14ac:dyDescent="0.35">
      <c r="A187" s="713" t="s">
        <v>738</v>
      </c>
      <c r="B187" s="714">
        <v>44347</v>
      </c>
      <c r="C187" s="713" t="s">
        <v>718</v>
      </c>
      <c r="D187" s="715">
        <v>-18514</v>
      </c>
    </row>
    <row r="188" spans="1:4" x14ac:dyDescent="0.35">
      <c r="A188" s="713" t="s">
        <v>738</v>
      </c>
      <c r="B188" s="714">
        <v>44347</v>
      </c>
      <c r="C188" s="713" t="s">
        <v>707</v>
      </c>
      <c r="D188" s="715">
        <v>126851</v>
      </c>
    </row>
    <row r="189" spans="1:4" x14ac:dyDescent="0.35">
      <c r="A189" s="713" t="s">
        <v>738</v>
      </c>
      <c r="B189" s="714">
        <v>44347</v>
      </c>
      <c r="C189" s="713" t="s">
        <v>712</v>
      </c>
      <c r="D189" s="715">
        <v>94</v>
      </c>
    </row>
    <row r="190" spans="1:4" s="683" customFormat="1" x14ac:dyDescent="0.35">
      <c r="A190" s="716" t="s">
        <v>769</v>
      </c>
      <c r="B190" s="717"/>
      <c r="C190" s="716"/>
      <c r="D190" s="718">
        <f>SUM(D186:D189)</f>
        <v>128688.4</v>
      </c>
    </row>
    <row r="191" spans="1:4" x14ac:dyDescent="0.35">
      <c r="A191" s="684"/>
      <c r="B191" s="719"/>
      <c r="C191" s="684"/>
      <c r="D191" s="676"/>
    </row>
    <row r="192" spans="1:4" x14ac:dyDescent="0.35">
      <c r="A192" s="713" t="s">
        <v>739</v>
      </c>
      <c r="B192" s="714">
        <v>44347</v>
      </c>
      <c r="C192" s="713" t="s">
        <v>707</v>
      </c>
      <c r="D192" s="715">
        <v>142044</v>
      </c>
    </row>
    <row r="193" spans="1:4" x14ac:dyDescent="0.35">
      <c r="A193" s="713" t="s">
        <v>739</v>
      </c>
      <c r="B193" s="714">
        <v>44347</v>
      </c>
      <c r="C193" s="713" t="s">
        <v>714</v>
      </c>
      <c r="D193" s="715">
        <v>41393.9</v>
      </c>
    </row>
    <row r="194" spans="1:4" x14ac:dyDescent="0.35">
      <c r="A194" s="713" t="s">
        <v>739</v>
      </c>
      <c r="B194" s="714">
        <v>44347</v>
      </c>
      <c r="C194" s="713" t="s">
        <v>709</v>
      </c>
      <c r="D194" s="715">
        <v>26831.61</v>
      </c>
    </row>
    <row r="195" spans="1:4" x14ac:dyDescent="0.35">
      <c r="A195" s="713" t="s">
        <v>739</v>
      </c>
      <c r="B195" s="714">
        <v>44347</v>
      </c>
      <c r="C195" s="713" t="s">
        <v>713</v>
      </c>
      <c r="D195" s="715">
        <v>1073.5</v>
      </c>
    </row>
    <row r="196" spans="1:4" x14ac:dyDescent="0.35">
      <c r="A196" s="713" t="s">
        <v>739</v>
      </c>
      <c r="B196" s="714">
        <v>44347</v>
      </c>
      <c r="C196" s="713" t="s">
        <v>712</v>
      </c>
      <c r="D196" s="715">
        <v>215</v>
      </c>
    </row>
    <row r="197" spans="1:4" s="683" customFormat="1" x14ac:dyDescent="0.35">
      <c r="A197" s="716" t="s">
        <v>769</v>
      </c>
      <c r="B197" s="717"/>
      <c r="C197" s="716"/>
      <c r="D197" s="718">
        <f>SUM(D192:D196)</f>
        <v>211558.01</v>
      </c>
    </row>
    <row r="198" spans="1:4" x14ac:dyDescent="0.35">
      <c r="A198" s="684"/>
      <c r="B198" s="719"/>
      <c r="C198" s="684"/>
      <c r="D198" s="676"/>
    </row>
    <row r="199" spans="1:4" x14ac:dyDescent="0.35">
      <c r="A199" s="713" t="s">
        <v>740</v>
      </c>
      <c r="B199" s="714">
        <v>44347</v>
      </c>
      <c r="C199" s="713" t="s">
        <v>714</v>
      </c>
      <c r="D199" s="715">
        <v>41929.599999999999</v>
      </c>
    </row>
    <row r="200" spans="1:4" x14ac:dyDescent="0.35">
      <c r="A200" s="713" t="s">
        <v>740</v>
      </c>
      <c r="B200" s="714">
        <v>44347</v>
      </c>
      <c r="C200" s="713" t="s">
        <v>707</v>
      </c>
      <c r="D200" s="715">
        <v>158410</v>
      </c>
    </row>
    <row r="201" spans="1:4" x14ac:dyDescent="0.35">
      <c r="A201" s="713" t="s">
        <v>740</v>
      </c>
      <c r="B201" s="714">
        <v>44347</v>
      </c>
      <c r="C201" s="713" t="s">
        <v>710</v>
      </c>
      <c r="D201" s="715">
        <v>7037.27</v>
      </c>
    </row>
    <row r="202" spans="1:4" x14ac:dyDescent="0.35">
      <c r="A202" s="713" t="s">
        <v>740</v>
      </c>
      <c r="B202" s="714">
        <v>44347</v>
      </c>
      <c r="C202" s="713" t="s">
        <v>713</v>
      </c>
      <c r="D202" s="715">
        <v>1153</v>
      </c>
    </row>
    <row r="203" spans="1:4" s="683" customFormat="1" x14ac:dyDescent="0.35">
      <c r="A203" s="716" t="s">
        <v>769</v>
      </c>
      <c r="B203" s="717"/>
      <c r="C203" s="716"/>
      <c r="D203" s="718">
        <f>SUM(D199:D202)</f>
        <v>208529.87</v>
      </c>
    </row>
    <row r="204" spans="1:4" x14ac:dyDescent="0.35">
      <c r="A204" s="684"/>
      <c r="B204" s="719"/>
      <c r="C204" s="684"/>
      <c r="D204" s="676"/>
    </row>
    <row r="205" spans="1:4" x14ac:dyDescent="0.35">
      <c r="A205" s="713" t="s">
        <v>741</v>
      </c>
      <c r="B205" s="714">
        <v>44347</v>
      </c>
      <c r="C205" s="713" t="s">
        <v>722</v>
      </c>
      <c r="D205" s="715">
        <v>-15362.1</v>
      </c>
    </row>
    <row r="206" spans="1:4" x14ac:dyDescent="0.35">
      <c r="A206" s="713" t="s">
        <v>741</v>
      </c>
      <c r="B206" s="714">
        <v>44347</v>
      </c>
      <c r="C206" s="713" t="s">
        <v>713</v>
      </c>
      <c r="D206" s="715">
        <v>297</v>
      </c>
    </row>
    <row r="207" spans="1:4" x14ac:dyDescent="0.35">
      <c r="A207" s="713" t="s">
        <v>741</v>
      </c>
      <c r="B207" s="714">
        <v>44347</v>
      </c>
      <c r="C207" s="713" t="s">
        <v>709</v>
      </c>
      <c r="D207" s="715">
        <v>207182.18</v>
      </c>
    </row>
    <row r="208" spans="1:4" x14ac:dyDescent="0.35">
      <c r="A208" s="713" t="s">
        <v>741</v>
      </c>
      <c r="B208" s="714">
        <v>44347</v>
      </c>
      <c r="C208" s="713" t="s">
        <v>714</v>
      </c>
      <c r="D208" s="715">
        <v>25857.599999999999</v>
      </c>
    </row>
    <row r="209" spans="1:4" s="683" customFormat="1" x14ac:dyDescent="0.35">
      <c r="A209" s="716" t="s">
        <v>769</v>
      </c>
      <c r="B209" s="717"/>
      <c r="C209" s="716"/>
      <c r="D209" s="718">
        <f>SUM(D205:D208)</f>
        <v>217974.68</v>
      </c>
    </row>
    <row r="210" spans="1:4" x14ac:dyDescent="0.35">
      <c r="A210" s="684"/>
      <c r="B210" s="719"/>
      <c r="C210" s="684"/>
      <c r="D210" s="676"/>
    </row>
    <row r="211" spans="1:4" x14ac:dyDescent="0.35">
      <c r="A211" s="713" t="s">
        <v>742</v>
      </c>
      <c r="B211" s="714">
        <v>44347</v>
      </c>
      <c r="C211" s="713" t="s">
        <v>714</v>
      </c>
      <c r="D211" s="715">
        <v>132593.79999999999</v>
      </c>
    </row>
    <row r="212" spans="1:4" x14ac:dyDescent="0.35">
      <c r="A212" s="713" t="s">
        <v>742</v>
      </c>
      <c r="B212" s="714">
        <v>44347</v>
      </c>
      <c r="C212" s="713" t="s">
        <v>712</v>
      </c>
      <c r="D212" s="715">
        <v>1038</v>
      </c>
    </row>
    <row r="213" spans="1:4" x14ac:dyDescent="0.35">
      <c r="A213" s="713" t="s">
        <v>742</v>
      </c>
      <c r="B213" s="714">
        <v>44347</v>
      </c>
      <c r="C213" s="713" t="s">
        <v>713</v>
      </c>
      <c r="D213" s="715">
        <v>11325.5</v>
      </c>
    </row>
    <row r="214" spans="1:4" x14ac:dyDescent="0.35">
      <c r="A214" s="713" t="s">
        <v>742</v>
      </c>
      <c r="B214" s="714">
        <v>44347</v>
      </c>
      <c r="C214" s="713" t="s">
        <v>718</v>
      </c>
      <c r="D214" s="715">
        <v>-92190</v>
      </c>
    </row>
    <row r="215" spans="1:4" x14ac:dyDescent="0.35">
      <c r="A215" s="713" t="s">
        <v>742</v>
      </c>
      <c r="B215" s="714">
        <v>44347</v>
      </c>
      <c r="C215" s="713" t="s">
        <v>707</v>
      </c>
      <c r="D215" s="715">
        <v>720687</v>
      </c>
    </row>
    <row r="216" spans="1:4" s="683" customFormat="1" x14ac:dyDescent="0.35">
      <c r="A216" s="716" t="s">
        <v>769</v>
      </c>
      <c r="B216" s="717"/>
      <c r="C216" s="716"/>
      <c r="D216" s="718">
        <f>SUM(D211:D215)</f>
        <v>773454.3</v>
      </c>
    </row>
    <row r="217" spans="1:4" x14ac:dyDescent="0.35">
      <c r="A217" s="713"/>
      <c r="B217" s="714"/>
      <c r="C217" s="713"/>
      <c r="D217" s="715"/>
    </row>
    <row r="218" spans="1:4" x14ac:dyDescent="0.35">
      <c r="A218" s="713" t="s">
        <v>743</v>
      </c>
      <c r="B218" s="714">
        <v>44347</v>
      </c>
      <c r="C218" s="713" t="s">
        <v>712</v>
      </c>
      <c r="D218" s="715">
        <v>245</v>
      </c>
    </row>
    <row r="219" spans="1:4" x14ac:dyDescent="0.35">
      <c r="A219" s="713" t="s">
        <v>743</v>
      </c>
      <c r="B219" s="714">
        <v>44347</v>
      </c>
      <c r="C219" s="713" t="s">
        <v>709</v>
      </c>
      <c r="D219" s="715">
        <v>1952.8</v>
      </c>
    </row>
    <row r="220" spans="1:4" x14ac:dyDescent="0.35">
      <c r="A220" s="713" t="s">
        <v>743</v>
      </c>
      <c r="B220" s="714">
        <v>44347</v>
      </c>
      <c r="C220" s="713" t="s">
        <v>713</v>
      </c>
      <c r="D220" s="715">
        <v>5928</v>
      </c>
    </row>
    <row r="221" spans="1:4" x14ac:dyDescent="0.35">
      <c r="A221" s="713" t="s">
        <v>743</v>
      </c>
      <c r="B221" s="714">
        <v>44347</v>
      </c>
      <c r="C221" s="713" t="s">
        <v>714</v>
      </c>
      <c r="D221" s="715">
        <v>57044.9</v>
      </c>
    </row>
    <row r="222" spans="1:4" x14ac:dyDescent="0.35">
      <c r="A222" s="713" t="s">
        <v>743</v>
      </c>
      <c r="B222" s="714">
        <v>44347</v>
      </c>
      <c r="C222" s="713" t="s">
        <v>710</v>
      </c>
      <c r="D222" s="715">
        <v>0</v>
      </c>
    </row>
    <row r="223" spans="1:4" x14ac:dyDescent="0.35">
      <c r="A223" s="713" t="s">
        <v>743</v>
      </c>
      <c r="B223" s="714">
        <v>44347</v>
      </c>
      <c r="C223" s="713" t="s">
        <v>707</v>
      </c>
      <c r="D223" s="715">
        <v>391692</v>
      </c>
    </row>
    <row r="224" spans="1:4" s="683" customFormat="1" x14ac:dyDescent="0.35">
      <c r="A224" s="716" t="s">
        <v>769</v>
      </c>
      <c r="B224" s="717"/>
      <c r="C224" s="716"/>
      <c r="D224" s="718">
        <f>SUM(D218:D223)</f>
        <v>456862.7</v>
      </c>
    </row>
    <row r="225" spans="1:4" x14ac:dyDescent="0.35">
      <c r="A225" s="684"/>
      <c r="B225" s="719"/>
      <c r="C225" s="684"/>
      <c r="D225" s="676"/>
    </row>
    <row r="226" spans="1:4" x14ac:dyDescent="0.35">
      <c r="A226" s="713" t="s">
        <v>526</v>
      </c>
      <c r="B226" s="714">
        <v>44347</v>
      </c>
      <c r="C226" s="713" t="s">
        <v>713</v>
      </c>
      <c r="D226" s="715">
        <v>427.5</v>
      </c>
    </row>
    <row r="227" spans="1:4" x14ac:dyDescent="0.35">
      <c r="A227" s="713" t="s">
        <v>526</v>
      </c>
      <c r="B227" s="714">
        <v>44347</v>
      </c>
      <c r="C227" s="713" t="s">
        <v>712</v>
      </c>
      <c r="D227" s="715">
        <v>400</v>
      </c>
    </row>
    <row r="228" spans="1:4" x14ac:dyDescent="0.35">
      <c r="A228" s="713" t="s">
        <v>526</v>
      </c>
      <c r="B228" s="714">
        <v>44347</v>
      </c>
      <c r="C228" s="713" t="s">
        <v>707</v>
      </c>
      <c r="D228" s="715">
        <v>1040382</v>
      </c>
    </row>
    <row r="229" spans="1:4" x14ac:dyDescent="0.35">
      <c r="A229" s="713" t="s">
        <v>526</v>
      </c>
      <c r="B229" s="714">
        <v>44347</v>
      </c>
      <c r="C229" s="713" t="s">
        <v>714</v>
      </c>
      <c r="D229" s="715">
        <v>133361.1</v>
      </c>
    </row>
    <row r="230" spans="1:4" s="683" customFormat="1" x14ac:dyDescent="0.35">
      <c r="A230" s="716" t="s">
        <v>769</v>
      </c>
      <c r="B230" s="717"/>
      <c r="C230" s="716"/>
      <c r="D230" s="718">
        <f>SUM(D226:D229)</f>
        <v>1174570.6000000001</v>
      </c>
    </row>
    <row r="231" spans="1:4" x14ac:dyDescent="0.35">
      <c r="A231" s="684"/>
      <c r="B231" s="719"/>
      <c r="C231" s="684"/>
      <c r="D231" s="676"/>
    </row>
    <row r="232" spans="1:4" x14ac:dyDescent="0.35">
      <c r="A232" s="713" t="s">
        <v>744</v>
      </c>
      <c r="B232" s="714">
        <v>44347</v>
      </c>
      <c r="C232" s="713" t="s">
        <v>707</v>
      </c>
      <c r="D232" s="715">
        <v>29799</v>
      </c>
    </row>
    <row r="233" spans="1:4" x14ac:dyDescent="0.35">
      <c r="A233" s="713" t="s">
        <v>744</v>
      </c>
      <c r="B233" s="714">
        <v>44347</v>
      </c>
      <c r="C233" s="713" t="s">
        <v>713</v>
      </c>
      <c r="D233" s="715">
        <v>1167</v>
      </c>
    </row>
    <row r="234" spans="1:4" x14ac:dyDescent="0.35">
      <c r="A234" s="713" t="s">
        <v>744</v>
      </c>
      <c r="B234" s="714">
        <v>44347</v>
      </c>
      <c r="C234" s="713" t="s">
        <v>709</v>
      </c>
      <c r="D234" s="715">
        <v>146519.09</v>
      </c>
    </row>
    <row r="235" spans="1:4" x14ac:dyDescent="0.35">
      <c r="A235" s="713" t="s">
        <v>744</v>
      </c>
      <c r="B235" s="714">
        <v>44347</v>
      </c>
      <c r="C235" s="713" t="s">
        <v>714</v>
      </c>
      <c r="D235" s="715">
        <v>12696.9</v>
      </c>
    </row>
    <row r="236" spans="1:4" x14ac:dyDescent="0.35">
      <c r="A236" s="713" t="s">
        <v>744</v>
      </c>
      <c r="B236" s="714">
        <v>44347</v>
      </c>
      <c r="C236" s="713" t="s">
        <v>712</v>
      </c>
      <c r="D236" s="715">
        <v>43</v>
      </c>
    </row>
    <row r="237" spans="1:4" s="683" customFormat="1" x14ac:dyDescent="0.35">
      <c r="A237" s="716" t="s">
        <v>769</v>
      </c>
      <c r="B237" s="717"/>
      <c r="C237" s="716"/>
      <c r="D237" s="718">
        <f>SUM(D232:D236)</f>
        <v>190224.99</v>
      </c>
    </row>
    <row r="238" spans="1:4" x14ac:dyDescent="0.35">
      <c r="A238" s="684"/>
      <c r="B238" s="719"/>
      <c r="C238" s="684"/>
      <c r="D238" s="676"/>
    </row>
    <row r="239" spans="1:4" x14ac:dyDescent="0.35">
      <c r="A239" s="713" t="s">
        <v>745</v>
      </c>
      <c r="B239" s="714">
        <v>44347</v>
      </c>
      <c r="C239" s="713" t="s">
        <v>722</v>
      </c>
      <c r="D239" s="715">
        <v>-60009.93</v>
      </c>
    </row>
    <row r="240" spans="1:4" x14ac:dyDescent="0.35">
      <c r="A240" s="713" t="s">
        <v>745</v>
      </c>
      <c r="B240" s="714">
        <v>44347</v>
      </c>
      <c r="C240" s="713" t="s">
        <v>712</v>
      </c>
      <c r="D240" s="715">
        <v>1084</v>
      </c>
    </row>
    <row r="241" spans="1:4" x14ac:dyDescent="0.35">
      <c r="A241" s="713" t="s">
        <v>745</v>
      </c>
      <c r="B241" s="714">
        <v>44347</v>
      </c>
      <c r="C241" s="713" t="s">
        <v>714</v>
      </c>
      <c r="D241" s="715">
        <v>169103.1</v>
      </c>
    </row>
    <row r="242" spans="1:4" x14ac:dyDescent="0.35">
      <c r="A242" s="713" t="s">
        <v>745</v>
      </c>
      <c r="B242" s="714">
        <v>44347</v>
      </c>
      <c r="C242" s="713" t="s">
        <v>713</v>
      </c>
      <c r="D242" s="715">
        <v>9863.5</v>
      </c>
    </row>
    <row r="243" spans="1:4" x14ac:dyDescent="0.35">
      <c r="A243" s="713" t="s">
        <v>745</v>
      </c>
      <c r="B243" s="714">
        <v>44347</v>
      </c>
      <c r="C243" s="713" t="s">
        <v>709</v>
      </c>
      <c r="D243" s="715">
        <v>226425.07</v>
      </c>
    </row>
    <row r="244" spans="1:4" x14ac:dyDescent="0.35">
      <c r="A244" s="713" t="s">
        <v>745</v>
      </c>
      <c r="B244" s="714">
        <v>44347</v>
      </c>
      <c r="C244" s="713" t="s">
        <v>718</v>
      </c>
      <c r="D244" s="715">
        <v>-239230</v>
      </c>
    </row>
    <row r="245" spans="1:4" x14ac:dyDescent="0.35">
      <c r="A245" s="713" t="s">
        <v>745</v>
      </c>
      <c r="B245" s="714">
        <v>44347</v>
      </c>
      <c r="C245" s="713" t="s">
        <v>707</v>
      </c>
      <c r="D245" s="715">
        <v>815299</v>
      </c>
    </row>
    <row r="246" spans="1:4" s="683" customFormat="1" x14ac:dyDescent="0.35">
      <c r="A246" s="716" t="s">
        <v>769</v>
      </c>
      <c r="B246" s="717"/>
      <c r="C246" s="716"/>
      <c r="D246" s="718">
        <f>SUM(D239:D245)</f>
        <v>922534.74</v>
      </c>
    </row>
    <row r="247" spans="1:4" x14ac:dyDescent="0.35">
      <c r="A247" s="684"/>
      <c r="B247" s="719"/>
      <c r="C247" s="684"/>
      <c r="D247" s="676"/>
    </row>
    <row r="248" spans="1:4" x14ac:dyDescent="0.35">
      <c r="A248" s="713" t="s">
        <v>746</v>
      </c>
      <c r="B248" s="714">
        <v>44347</v>
      </c>
      <c r="C248" s="713" t="s">
        <v>714</v>
      </c>
      <c r="D248" s="715">
        <v>11353.5</v>
      </c>
    </row>
    <row r="249" spans="1:4" x14ac:dyDescent="0.35">
      <c r="A249" s="713" t="s">
        <v>746</v>
      </c>
      <c r="B249" s="714">
        <v>44347</v>
      </c>
      <c r="C249" s="713" t="s">
        <v>718</v>
      </c>
      <c r="D249" s="715">
        <v>-52738</v>
      </c>
    </row>
    <row r="250" spans="1:4" x14ac:dyDescent="0.35">
      <c r="A250" s="713" t="s">
        <v>746</v>
      </c>
      <c r="B250" s="714">
        <v>44347</v>
      </c>
      <c r="C250" s="713" t="s">
        <v>707</v>
      </c>
      <c r="D250" s="715">
        <v>105476</v>
      </c>
    </row>
    <row r="251" spans="1:4" x14ac:dyDescent="0.35">
      <c r="A251" s="713" t="s">
        <v>746</v>
      </c>
      <c r="B251" s="714">
        <v>44347</v>
      </c>
      <c r="C251" s="713" t="s">
        <v>709</v>
      </c>
      <c r="D251" s="715">
        <v>27057.7</v>
      </c>
    </row>
    <row r="252" spans="1:4" s="683" customFormat="1" x14ac:dyDescent="0.35">
      <c r="A252" s="716" t="s">
        <v>769</v>
      </c>
      <c r="B252" s="717"/>
      <c r="C252" s="716"/>
      <c r="D252" s="718">
        <f>SUM(D248:D251)</f>
        <v>91149.2</v>
      </c>
    </row>
    <row r="253" spans="1:4" s="682" customFormat="1" x14ac:dyDescent="0.35">
      <c r="A253" s="684"/>
      <c r="B253" s="719"/>
      <c r="C253" s="684"/>
      <c r="D253" s="676"/>
    </row>
    <row r="254" spans="1:4" x14ac:dyDescent="0.35">
      <c r="A254" s="713" t="s">
        <v>747</v>
      </c>
      <c r="B254" s="714">
        <v>44347</v>
      </c>
      <c r="C254" s="713" t="s">
        <v>707</v>
      </c>
      <c r="D254" s="715">
        <v>9791</v>
      </c>
    </row>
    <row r="255" spans="1:4" s="683" customFormat="1" x14ac:dyDescent="0.35">
      <c r="A255" s="716" t="s">
        <v>769</v>
      </c>
      <c r="B255" s="717"/>
      <c r="C255" s="716"/>
      <c r="D255" s="718">
        <f>SUM(D254)</f>
        <v>9791</v>
      </c>
    </row>
    <row r="256" spans="1:4" x14ac:dyDescent="0.35">
      <c r="A256" s="684"/>
      <c r="B256" s="719"/>
      <c r="C256" s="684"/>
      <c r="D256" s="676"/>
    </row>
    <row r="257" spans="1:4" x14ac:dyDescent="0.35">
      <c r="A257" s="713" t="s">
        <v>748</v>
      </c>
      <c r="B257" s="714">
        <v>44347</v>
      </c>
      <c r="C257" s="713" t="s">
        <v>712</v>
      </c>
      <c r="D257" s="715">
        <v>180</v>
      </c>
    </row>
    <row r="258" spans="1:4" x14ac:dyDescent="0.35">
      <c r="A258" s="713" t="s">
        <v>748</v>
      </c>
      <c r="B258" s="714">
        <v>44347</v>
      </c>
      <c r="C258" s="713" t="s">
        <v>714</v>
      </c>
      <c r="D258" s="715">
        <v>80434.2</v>
      </c>
    </row>
    <row r="259" spans="1:4" x14ac:dyDescent="0.35">
      <c r="A259" s="713" t="s">
        <v>748</v>
      </c>
      <c r="B259" s="714">
        <v>44347</v>
      </c>
      <c r="C259" s="713" t="s">
        <v>722</v>
      </c>
      <c r="D259" s="715">
        <v>-6746.99</v>
      </c>
    </row>
    <row r="260" spans="1:4" x14ac:dyDescent="0.35">
      <c r="A260" s="713" t="s">
        <v>748</v>
      </c>
      <c r="B260" s="714">
        <v>44347</v>
      </c>
      <c r="C260" s="713" t="s">
        <v>709</v>
      </c>
      <c r="D260" s="715">
        <v>232729.33</v>
      </c>
    </row>
    <row r="261" spans="1:4" x14ac:dyDescent="0.35">
      <c r="A261" s="713" t="s">
        <v>748</v>
      </c>
      <c r="B261" s="714">
        <v>44347</v>
      </c>
      <c r="C261" s="713" t="s">
        <v>713</v>
      </c>
      <c r="D261" s="715">
        <v>3022</v>
      </c>
    </row>
    <row r="262" spans="1:4" s="683" customFormat="1" x14ac:dyDescent="0.35">
      <c r="A262" s="716" t="s">
        <v>769</v>
      </c>
      <c r="B262" s="717"/>
      <c r="C262" s="716"/>
      <c r="D262" s="718">
        <f>SUM(D257:D261)</f>
        <v>309618.53999999998</v>
      </c>
    </row>
    <row r="263" spans="1:4" x14ac:dyDescent="0.35">
      <c r="A263" s="684"/>
      <c r="B263" s="719"/>
      <c r="C263" s="684"/>
      <c r="D263" s="676"/>
    </row>
    <row r="264" spans="1:4" x14ac:dyDescent="0.35">
      <c r="A264" s="713" t="s">
        <v>749</v>
      </c>
      <c r="B264" s="714">
        <v>44347</v>
      </c>
      <c r="C264" s="713" t="s">
        <v>714</v>
      </c>
      <c r="D264" s="715">
        <v>2534.8000000000002</v>
      </c>
    </row>
    <row r="265" spans="1:4" x14ac:dyDescent="0.35">
      <c r="A265" s="713" t="s">
        <v>749</v>
      </c>
      <c r="B265" s="714">
        <v>44347</v>
      </c>
      <c r="C265" s="713" t="s">
        <v>707</v>
      </c>
      <c r="D265" s="715">
        <v>53503</v>
      </c>
    </row>
    <row r="266" spans="1:4" x14ac:dyDescent="0.35">
      <c r="A266" s="713" t="s">
        <v>749</v>
      </c>
      <c r="B266" s="714">
        <v>44347</v>
      </c>
      <c r="C266" s="713" t="s">
        <v>722</v>
      </c>
      <c r="D266" s="715">
        <v>-65148.13</v>
      </c>
    </row>
    <row r="267" spans="1:4" x14ac:dyDescent="0.35">
      <c r="A267" s="713" t="s">
        <v>749</v>
      </c>
      <c r="B267" s="714">
        <v>44347</v>
      </c>
      <c r="C267" s="713" t="s">
        <v>710</v>
      </c>
      <c r="D267" s="715">
        <v>0</v>
      </c>
    </row>
    <row r="268" spans="1:4" x14ac:dyDescent="0.35">
      <c r="A268" s="713" t="s">
        <v>749</v>
      </c>
      <c r="B268" s="714">
        <v>44347</v>
      </c>
      <c r="C268" s="713" t="s">
        <v>709</v>
      </c>
      <c r="D268" s="715">
        <v>130462.16</v>
      </c>
    </row>
    <row r="269" spans="1:4" x14ac:dyDescent="0.35">
      <c r="A269" s="713" t="s">
        <v>749</v>
      </c>
      <c r="B269" s="714">
        <v>44347</v>
      </c>
      <c r="C269" s="713" t="s">
        <v>713</v>
      </c>
      <c r="D269" s="715">
        <v>373</v>
      </c>
    </row>
    <row r="270" spans="1:4" x14ac:dyDescent="0.35">
      <c r="A270" s="713" t="s">
        <v>749</v>
      </c>
      <c r="B270" s="714">
        <v>44347</v>
      </c>
      <c r="C270" s="713" t="s">
        <v>718</v>
      </c>
      <c r="D270" s="715">
        <v>-11455</v>
      </c>
    </row>
    <row r="271" spans="1:4" s="683" customFormat="1" x14ac:dyDescent="0.35">
      <c r="A271" s="716" t="s">
        <v>769</v>
      </c>
      <c r="B271" s="717"/>
      <c r="C271" s="716"/>
      <c r="D271" s="718">
        <f>SUM(D264:D270)</f>
        <v>110269.83000000002</v>
      </c>
    </row>
    <row r="272" spans="1:4" x14ac:dyDescent="0.35">
      <c r="A272" s="684"/>
      <c r="B272" s="719"/>
      <c r="C272" s="684"/>
      <c r="D272" s="676"/>
    </row>
    <row r="273" spans="1:4" x14ac:dyDescent="0.35">
      <c r="A273" s="713" t="s">
        <v>750</v>
      </c>
      <c r="B273" s="714">
        <v>44347</v>
      </c>
      <c r="C273" s="713" t="s">
        <v>714</v>
      </c>
      <c r="D273" s="715">
        <v>164074</v>
      </c>
    </row>
    <row r="274" spans="1:4" x14ac:dyDescent="0.35">
      <c r="A274" s="713" t="s">
        <v>750</v>
      </c>
      <c r="B274" s="714">
        <v>44347</v>
      </c>
      <c r="C274" s="713" t="s">
        <v>707</v>
      </c>
      <c r="D274" s="715">
        <v>583294</v>
      </c>
    </row>
    <row r="275" spans="1:4" x14ac:dyDescent="0.35">
      <c r="A275" s="713" t="s">
        <v>750</v>
      </c>
      <c r="B275" s="714">
        <v>44347</v>
      </c>
      <c r="C275" s="713" t="s">
        <v>712</v>
      </c>
      <c r="D275" s="715">
        <v>222</v>
      </c>
    </row>
    <row r="276" spans="1:4" x14ac:dyDescent="0.35">
      <c r="A276" s="713" t="s">
        <v>750</v>
      </c>
      <c r="B276" s="714">
        <v>44347</v>
      </c>
      <c r="C276" s="713" t="s">
        <v>709</v>
      </c>
      <c r="D276" s="715">
        <v>80565.539999999994</v>
      </c>
    </row>
    <row r="277" spans="1:4" x14ac:dyDescent="0.35">
      <c r="A277" s="713" t="s">
        <v>750</v>
      </c>
      <c r="B277" s="714">
        <v>44347</v>
      </c>
      <c r="C277" s="713" t="s">
        <v>713</v>
      </c>
      <c r="D277" s="715">
        <v>819.5</v>
      </c>
    </row>
    <row r="278" spans="1:4" s="683" customFormat="1" x14ac:dyDescent="0.35">
      <c r="A278" s="716" t="s">
        <v>769</v>
      </c>
      <c r="B278" s="717"/>
      <c r="C278" s="716"/>
      <c r="D278" s="718">
        <f>SUM(D273:D277)</f>
        <v>828975.04</v>
      </c>
    </row>
    <row r="279" spans="1:4" x14ac:dyDescent="0.35">
      <c r="A279" s="684"/>
      <c r="B279" s="719"/>
      <c r="C279" s="684"/>
      <c r="D279" s="676"/>
    </row>
    <row r="280" spans="1:4" x14ac:dyDescent="0.35">
      <c r="A280" s="713" t="s">
        <v>751</v>
      </c>
      <c r="B280" s="714">
        <v>44347</v>
      </c>
      <c r="C280" s="713" t="s">
        <v>712</v>
      </c>
      <c r="D280" s="715">
        <v>466.3</v>
      </c>
    </row>
    <row r="281" spans="1:4" x14ac:dyDescent="0.35">
      <c r="A281" s="713" t="s">
        <v>751</v>
      </c>
      <c r="B281" s="714">
        <v>44347</v>
      </c>
      <c r="C281" s="713" t="s">
        <v>714</v>
      </c>
      <c r="D281" s="715">
        <v>183843.8</v>
      </c>
    </row>
    <row r="282" spans="1:4" x14ac:dyDescent="0.35">
      <c r="A282" s="713" t="s">
        <v>751</v>
      </c>
      <c r="B282" s="714">
        <v>44347</v>
      </c>
      <c r="C282" s="713" t="s">
        <v>713</v>
      </c>
      <c r="D282" s="715">
        <v>10055</v>
      </c>
    </row>
    <row r="283" spans="1:4" x14ac:dyDescent="0.35">
      <c r="A283" s="713" t="s">
        <v>751</v>
      </c>
      <c r="B283" s="714">
        <v>44347</v>
      </c>
      <c r="C283" s="713" t="s">
        <v>707</v>
      </c>
      <c r="D283" s="715">
        <v>686953</v>
      </c>
    </row>
    <row r="284" spans="1:4" s="683" customFormat="1" x14ac:dyDescent="0.35">
      <c r="A284" s="716" t="s">
        <v>769</v>
      </c>
      <c r="B284" s="717"/>
      <c r="C284" s="716"/>
      <c r="D284" s="718">
        <f>SUM(D280:D283)</f>
        <v>881318.1</v>
      </c>
    </row>
    <row r="285" spans="1:4" x14ac:dyDescent="0.35">
      <c r="A285" s="684"/>
      <c r="B285" s="719"/>
      <c r="C285" s="684"/>
      <c r="D285" s="676"/>
    </row>
    <row r="286" spans="1:4" x14ac:dyDescent="0.35">
      <c r="A286" s="684" t="s">
        <v>752</v>
      </c>
      <c r="B286" s="719">
        <v>44347</v>
      </c>
      <c r="C286" s="684" t="s">
        <v>709</v>
      </c>
      <c r="D286" s="676">
        <v>61503.88</v>
      </c>
    </row>
    <row r="287" spans="1:4" x14ac:dyDescent="0.35">
      <c r="A287" s="713" t="s">
        <v>752</v>
      </c>
      <c r="B287" s="714">
        <v>44347</v>
      </c>
      <c r="C287" s="713" t="s">
        <v>714</v>
      </c>
      <c r="D287" s="715">
        <v>10721.4</v>
      </c>
    </row>
    <row r="288" spans="1:4" s="683" customFormat="1" x14ac:dyDescent="0.35">
      <c r="A288" s="716" t="s">
        <v>769</v>
      </c>
      <c r="B288" s="717"/>
      <c r="C288" s="716"/>
      <c r="D288" s="718">
        <f>SUM(D286:D287)</f>
        <v>72225.279999999999</v>
      </c>
    </row>
    <row r="289" spans="1:4" x14ac:dyDescent="0.35">
      <c r="A289" s="684"/>
      <c r="B289" s="719"/>
      <c r="C289" s="684"/>
      <c r="D289" s="676"/>
    </row>
    <row r="290" spans="1:4" x14ac:dyDescent="0.35">
      <c r="A290" s="713" t="s">
        <v>753</v>
      </c>
      <c r="B290" s="714">
        <v>44347</v>
      </c>
      <c r="C290" s="713" t="s">
        <v>714</v>
      </c>
      <c r="D290" s="715">
        <v>40605.599999999999</v>
      </c>
    </row>
    <row r="291" spans="1:4" x14ac:dyDescent="0.35">
      <c r="A291" s="713" t="s">
        <v>753</v>
      </c>
      <c r="B291" s="714">
        <v>44347</v>
      </c>
      <c r="C291" s="713" t="s">
        <v>707</v>
      </c>
      <c r="D291" s="715">
        <v>259824</v>
      </c>
    </row>
    <row r="292" spans="1:4" x14ac:dyDescent="0.35">
      <c r="A292" s="713" t="s">
        <v>753</v>
      </c>
      <c r="B292" s="714">
        <v>44347</v>
      </c>
      <c r="C292" s="713" t="s">
        <v>713</v>
      </c>
      <c r="D292" s="715">
        <v>1396</v>
      </c>
    </row>
    <row r="293" spans="1:4" x14ac:dyDescent="0.35">
      <c r="A293" s="713" t="s">
        <v>753</v>
      </c>
      <c r="B293" s="714">
        <v>44347</v>
      </c>
      <c r="C293" s="713" t="s">
        <v>718</v>
      </c>
      <c r="D293" s="715">
        <v>-36496</v>
      </c>
    </row>
    <row r="294" spans="1:4" s="683" customFormat="1" x14ac:dyDescent="0.35">
      <c r="A294" s="716" t="s">
        <v>769</v>
      </c>
      <c r="B294" s="717"/>
      <c r="C294" s="716"/>
      <c r="D294" s="718">
        <f>SUM(D290:D293)</f>
        <v>265329.59999999998</v>
      </c>
    </row>
    <row r="295" spans="1:4" x14ac:dyDescent="0.35">
      <c r="A295" s="684"/>
      <c r="B295" s="719"/>
      <c r="C295" s="684"/>
      <c r="D295" s="676"/>
    </row>
    <row r="296" spans="1:4" x14ac:dyDescent="0.35">
      <c r="A296" s="713" t="s">
        <v>754</v>
      </c>
      <c r="B296" s="714">
        <v>44347</v>
      </c>
      <c r="C296" s="713" t="s">
        <v>714</v>
      </c>
      <c r="D296" s="715">
        <v>488717.3</v>
      </c>
    </row>
    <row r="297" spans="1:4" x14ac:dyDescent="0.35">
      <c r="A297" s="713" t="s">
        <v>754</v>
      </c>
      <c r="B297" s="714">
        <v>44347</v>
      </c>
      <c r="C297" s="713" t="s">
        <v>707</v>
      </c>
      <c r="D297" s="715">
        <v>6141842</v>
      </c>
    </row>
    <row r="298" spans="1:4" x14ac:dyDescent="0.35">
      <c r="A298" s="713" t="s">
        <v>754</v>
      </c>
      <c r="B298" s="714">
        <v>44347</v>
      </c>
      <c r="C298" s="713" t="s">
        <v>710</v>
      </c>
      <c r="D298" s="715">
        <v>75789.48</v>
      </c>
    </row>
    <row r="299" spans="1:4" x14ac:dyDescent="0.35">
      <c r="A299" s="713" t="s">
        <v>754</v>
      </c>
      <c r="B299" s="714">
        <v>44347</v>
      </c>
      <c r="C299" s="713" t="s">
        <v>718</v>
      </c>
      <c r="D299" s="715">
        <v>-3302480</v>
      </c>
    </row>
    <row r="300" spans="1:4" x14ac:dyDescent="0.35">
      <c r="A300" s="713" t="s">
        <v>754</v>
      </c>
      <c r="B300" s="714">
        <v>44347</v>
      </c>
      <c r="C300" s="713" t="s">
        <v>722</v>
      </c>
      <c r="D300" s="715">
        <v>-596297.25</v>
      </c>
    </row>
    <row r="301" spans="1:4" x14ac:dyDescent="0.35">
      <c r="A301" s="713" t="s">
        <v>754</v>
      </c>
      <c r="B301" s="714">
        <v>44347</v>
      </c>
      <c r="C301" s="713" t="s">
        <v>719</v>
      </c>
      <c r="D301" s="715">
        <v>4544.68</v>
      </c>
    </row>
    <row r="302" spans="1:4" x14ac:dyDescent="0.35">
      <c r="A302" s="713" t="s">
        <v>754</v>
      </c>
      <c r="B302" s="714">
        <v>44347</v>
      </c>
      <c r="C302" s="713" t="s">
        <v>713</v>
      </c>
      <c r="D302" s="715">
        <v>10569</v>
      </c>
    </row>
    <row r="303" spans="1:4" x14ac:dyDescent="0.35">
      <c r="A303" s="713" t="s">
        <v>754</v>
      </c>
      <c r="B303" s="714">
        <v>44347</v>
      </c>
      <c r="C303" s="713" t="s">
        <v>712</v>
      </c>
      <c r="D303" s="715">
        <v>2623.7</v>
      </c>
    </row>
    <row r="304" spans="1:4" x14ac:dyDescent="0.35">
      <c r="A304" s="713" t="s">
        <v>754</v>
      </c>
      <c r="B304" s="714">
        <v>44347</v>
      </c>
      <c r="C304" s="713" t="s">
        <v>709</v>
      </c>
      <c r="D304" s="715">
        <v>2620971.15</v>
      </c>
    </row>
    <row r="305" spans="1:4" s="683" customFormat="1" x14ac:dyDescent="0.35">
      <c r="A305" s="716" t="s">
        <v>769</v>
      </c>
      <c r="B305" s="717"/>
      <c r="C305" s="716"/>
      <c r="D305" s="718">
        <f>SUM(D296:D304)</f>
        <v>5446280.0600000005</v>
      </c>
    </row>
    <row r="306" spans="1:4" x14ac:dyDescent="0.35">
      <c r="A306" s="684"/>
      <c r="B306" s="719"/>
      <c r="C306" s="684"/>
      <c r="D306" s="676"/>
    </row>
    <row r="307" spans="1:4" x14ac:dyDescent="0.35">
      <c r="A307" s="713" t="s">
        <v>755</v>
      </c>
      <c r="B307" s="714">
        <v>44347</v>
      </c>
      <c r="C307" s="713" t="s">
        <v>712</v>
      </c>
      <c r="D307" s="715">
        <v>157</v>
      </c>
    </row>
    <row r="308" spans="1:4" x14ac:dyDescent="0.35">
      <c r="A308" s="713" t="s">
        <v>755</v>
      </c>
      <c r="B308" s="714">
        <v>44347</v>
      </c>
      <c r="C308" s="713" t="s">
        <v>714</v>
      </c>
      <c r="D308" s="715">
        <v>344522.9</v>
      </c>
    </row>
    <row r="309" spans="1:4" x14ac:dyDescent="0.35">
      <c r="A309" s="713" t="s">
        <v>755</v>
      </c>
      <c r="B309" s="714">
        <v>44347</v>
      </c>
      <c r="C309" s="713" t="s">
        <v>713</v>
      </c>
      <c r="D309" s="715">
        <v>16651</v>
      </c>
    </row>
    <row r="310" spans="1:4" x14ac:dyDescent="0.35">
      <c r="A310" s="713" t="s">
        <v>755</v>
      </c>
      <c r="B310" s="714">
        <v>44347</v>
      </c>
      <c r="C310" s="713" t="s">
        <v>709</v>
      </c>
      <c r="D310" s="715">
        <v>10914.87</v>
      </c>
    </row>
    <row r="311" spans="1:4" x14ac:dyDescent="0.35">
      <c r="A311" s="713" t="s">
        <v>755</v>
      </c>
      <c r="B311" s="714">
        <v>44347</v>
      </c>
      <c r="C311" s="713" t="s">
        <v>707</v>
      </c>
      <c r="D311" s="715">
        <v>2251094</v>
      </c>
    </row>
    <row r="312" spans="1:4" x14ac:dyDescent="0.35">
      <c r="A312" s="713" t="s">
        <v>755</v>
      </c>
      <c r="B312" s="714">
        <v>44347</v>
      </c>
      <c r="C312" s="713" t="s">
        <v>718</v>
      </c>
      <c r="D312" s="715">
        <v>-64964</v>
      </c>
    </row>
    <row r="313" spans="1:4" s="683" customFormat="1" x14ac:dyDescent="0.35">
      <c r="A313" s="716" t="s">
        <v>769</v>
      </c>
      <c r="B313" s="717"/>
      <c r="C313" s="716"/>
      <c r="D313" s="718">
        <f>SUM(D307:D312)</f>
        <v>2558375.77</v>
      </c>
    </row>
    <row r="314" spans="1:4" x14ac:dyDescent="0.35">
      <c r="A314" s="684"/>
      <c r="B314" s="719"/>
      <c r="C314" s="684"/>
      <c r="D314" s="676"/>
    </row>
    <row r="315" spans="1:4" x14ac:dyDescent="0.35">
      <c r="A315" s="713" t="s">
        <v>506</v>
      </c>
      <c r="B315" s="714">
        <v>44347</v>
      </c>
      <c r="C315" s="713" t="s">
        <v>714</v>
      </c>
      <c r="D315" s="715">
        <v>3204.9</v>
      </c>
    </row>
    <row r="316" spans="1:4" x14ac:dyDescent="0.35">
      <c r="A316" s="713" t="s">
        <v>506</v>
      </c>
      <c r="B316" s="714">
        <v>44347</v>
      </c>
      <c r="C316" s="713" t="s">
        <v>713</v>
      </c>
      <c r="D316" s="715">
        <v>631</v>
      </c>
    </row>
    <row r="317" spans="1:4" s="683" customFormat="1" x14ac:dyDescent="0.35">
      <c r="A317" s="716" t="s">
        <v>769</v>
      </c>
      <c r="B317" s="717"/>
      <c r="C317" s="716"/>
      <c r="D317" s="718">
        <f>SUM(D315:D316)</f>
        <v>3835.9</v>
      </c>
    </row>
    <row r="318" spans="1:4" x14ac:dyDescent="0.35">
      <c r="A318" s="684"/>
      <c r="B318" s="719"/>
      <c r="C318" s="684"/>
      <c r="D318" s="676"/>
    </row>
    <row r="319" spans="1:4" x14ac:dyDescent="0.35">
      <c r="A319" s="713" t="s">
        <v>756</v>
      </c>
      <c r="B319" s="714">
        <v>44347</v>
      </c>
      <c r="C319" s="713" t="s">
        <v>713</v>
      </c>
      <c r="D319" s="715">
        <v>749</v>
      </c>
    </row>
    <row r="320" spans="1:4" x14ac:dyDescent="0.35">
      <c r="A320" s="713" t="s">
        <v>756</v>
      </c>
      <c r="B320" s="714">
        <v>44347</v>
      </c>
      <c r="C320" s="713" t="s">
        <v>712</v>
      </c>
      <c r="D320" s="715">
        <v>235</v>
      </c>
    </row>
    <row r="321" spans="1:4" x14ac:dyDescent="0.35">
      <c r="A321" s="713" t="s">
        <v>756</v>
      </c>
      <c r="B321" s="714">
        <v>44347</v>
      </c>
      <c r="C321" s="713" t="s">
        <v>714</v>
      </c>
      <c r="D321" s="715">
        <v>8835.2000000000007</v>
      </c>
    </row>
    <row r="322" spans="1:4" s="683" customFormat="1" x14ac:dyDescent="0.35">
      <c r="A322" s="716" t="s">
        <v>769</v>
      </c>
      <c r="B322" s="717"/>
      <c r="C322" s="716"/>
      <c r="D322" s="718">
        <f>SUM(D319:D321)</f>
        <v>9819.2000000000007</v>
      </c>
    </row>
    <row r="323" spans="1:4" x14ac:dyDescent="0.35">
      <c r="A323" s="684"/>
      <c r="B323" s="719"/>
      <c r="C323" s="684"/>
      <c r="D323" s="676"/>
    </row>
    <row r="324" spans="1:4" x14ac:dyDescent="0.35">
      <c r="A324" s="684" t="s">
        <v>757</v>
      </c>
      <c r="B324" s="719">
        <v>44347</v>
      </c>
      <c r="C324" s="684" t="s">
        <v>709</v>
      </c>
      <c r="D324" s="676">
        <v>7429.77</v>
      </c>
    </row>
    <row r="325" spans="1:4" x14ac:dyDescent="0.35">
      <c r="A325" s="713" t="s">
        <v>757</v>
      </c>
      <c r="B325" s="714">
        <v>44347</v>
      </c>
      <c r="C325" s="713" t="s">
        <v>707</v>
      </c>
      <c r="D325" s="715">
        <v>118105</v>
      </c>
    </row>
    <row r="326" spans="1:4" x14ac:dyDescent="0.35">
      <c r="A326" s="713" t="s">
        <v>757</v>
      </c>
      <c r="B326" s="714">
        <v>44347</v>
      </c>
      <c r="C326" s="713" t="s">
        <v>710</v>
      </c>
      <c r="D326" s="715">
        <v>0</v>
      </c>
    </row>
    <row r="327" spans="1:4" x14ac:dyDescent="0.35">
      <c r="A327" s="713" t="s">
        <v>757</v>
      </c>
      <c r="B327" s="714">
        <v>44347</v>
      </c>
      <c r="C327" s="713" t="s">
        <v>718</v>
      </c>
      <c r="D327" s="715">
        <v>-54065</v>
      </c>
    </row>
    <row r="328" spans="1:4" x14ac:dyDescent="0.35">
      <c r="A328" s="713" t="s">
        <v>757</v>
      </c>
      <c r="B328" s="714">
        <v>44347</v>
      </c>
      <c r="C328" s="713" t="s">
        <v>713</v>
      </c>
      <c r="D328" s="715">
        <v>430</v>
      </c>
    </row>
    <row r="329" spans="1:4" x14ac:dyDescent="0.35">
      <c r="A329" s="713" t="s">
        <v>757</v>
      </c>
      <c r="B329" s="714">
        <v>44347</v>
      </c>
      <c r="C329" s="713" t="s">
        <v>714</v>
      </c>
      <c r="D329" s="715">
        <v>6126.5</v>
      </c>
    </row>
    <row r="330" spans="1:4" s="683" customFormat="1" x14ac:dyDescent="0.35">
      <c r="A330" s="716" t="s">
        <v>769</v>
      </c>
      <c r="B330" s="717"/>
      <c r="C330" s="716"/>
      <c r="D330" s="718">
        <f>SUM(D324:D329)</f>
        <v>78026.27</v>
      </c>
    </row>
    <row r="331" spans="1:4" x14ac:dyDescent="0.35">
      <c r="A331" s="684"/>
      <c r="B331" s="719"/>
      <c r="C331" s="684"/>
      <c r="D331" s="676"/>
    </row>
    <row r="332" spans="1:4" x14ac:dyDescent="0.35">
      <c r="A332" s="713" t="s">
        <v>758</v>
      </c>
      <c r="B332" s="714">
        <v>44347</v>
      </c>
      <c r="C332" s="713" t="s">
        <v>709</v>
      </c>
      <c r="D332" s="715">
        <v>45054.45</v>
      </c>
    </row>
    <row r="333" spans="1:4" s="683" customFormat="1" x14ac:dyDescent="0.35">
      <c r="A333" s="716" t="s">
        <v>769</v>
      </c>
      <c r="B333" s="717"/>
      <c r="C333" s="716"/>
      <c r="D333" s="718">
        <f>SUM(D332)</f>
        <v>45054.45</v>
      </c>
    </row>
    <row r="334" spans="1:4" x14ac:dyDescent="0.35">
      <c r="A334" s="684"/>
      <c r="B334" s="719"/>
      <c r="C334" s="684"/>
      <c r="D334" s="676"/>
    </row>
    <row r="335" spans="1:4" x14ac:dyDescent="0.35">
      <c r="A335" s="713" t="s">
        <v>759</v>
      </c>
      <c r="B335" s="714">
        <v>44347</v>
      </c>
      <c r="C335" s="713" t="s">
        <v>719</v>
      </c>
      <c r="D335" s="715">
        <v>41069.94</v>
      </c>
    </row>
    <row r="336" spans="1:4" x14ac:dyDescent="0.35">
      <c r="A336" s="713" t="s">
        <v>759</v>
      </c>
      <c r="B336" s="714">
        <v>44347</v>
      </c>
      <c r="C336" s="713" t="s">
        <v>713</v>
      </c>
      <c r="D336" s="715">
        <v>28613</v>
      </c>
    </row>
    <row r="337" spans="1:4" x14ac:dyDescent="0.35">
      <c r="A337" s="713" t="s">
        <v>759</v>
      </c>
      <c r="B337" s="714">
        <v>44347</v>
      </c>
      <c r="C337" s="713" t="s">
        <v>709</v>
      </c>
      <c r="D337" s="715">
        <v>120899.22</v>
      </c>
    </row>
    <row r="338" spans="1:4" x14ac:dyDescent="0.35">
      <c r="A338" s="713" t="s">
        <v>759</v>
      </c>
      <c r="B338" s="714">
        <v>44347</v>
      </c>
      <c r="C338" s="713" t="s">
        <v>714</v>
      </c>
      <c r="D338" s="715">
        <v>939530.1</v>
      </c>
    </row>
    <row r="339" spans="1:4" x14ac:dyDescent="0.35">
      <c r="A339" s="713" t="s">
        <v>759</v>
      </c>
      <c r="B339" s="714">
        <v>44347</v>
      </c>
      <c r="C339" s="713" t="s">
        <v>712</v>
      </c>
      <c r="D339" s="715">
        <v>4234.3999999999996</v>
      </c>
    </row>
    <row r="340" spans="1:4" x14ac:dyDescent="0.35">
      <c r="A340" s="713" t="s">
        <v>759</v>
      </c>
      <c r="B340" s="714">
        <v>44347</v>
      </c>
      <c r="C340" s="713" t="s">
        <v>707</v>
      </c>
      <c r="D340" s="715">
        <v>4274968</v>
      </c>
    </row>
    <row r="341" spans="1:4" s="683" customFormat="1" x14ac:dyDescent="0.35">
      <c r="A341" s="716" t="s">
        <v>769</v>
      </c>
      <c r="B341" s="717"/>
      <c r="C341" s="716"/>
      <c r="D341" s="718">
        <f>SUM(D335:D340)</f>
        <v>5409314.6600000001</v>
      </c>
    </row>
    <row r="342" spans="1:4" x14ac:dyDescent="0.35">
      <c r="A342" s="684"/>
      <c r="B342" s="719"/>
      <c r="C342" s="684"/>
      <c r="D342" s="676"/>
    </row>
    <row r="343" spans="1:4" x14ac:dyDescent="0.35">
      <c r="A343" s="713" t="s">
        <v>761</v>
      </c>
      <c r="B343" s="714">
        <v>44347</v>
      </c>
      <c r="C343" s="713" t="s">
        <v>707</v>
      </c>
      <c r="D343" s="715">
        <v>8749</v>
      </c>
    </row>
    <row r="344" spans="1:4" s="683" customFormat="1" x14ac:dyDescent="0.35">
      <c r="A344" s="716" t="s">
        <v>769</v>
      </c>
      <c r="B344" s="717"/>
      <c r="C344" s="716"/>
      <c r="D344" s="718">
        <f>SUM(D343)</f>
        <v>8749</v>
      </c>
    </row>
    <row r="345" spans="1:4" x14ac:dyDescent="0.35">
      <c r="A345" s="684"/>
      <c r="B345" s="719"/>
      <c r="C345" s="684"/>
      <c r="D345" s="676"/>
    </row>
    <row r="346" spans="1:4" x14ac:dyDescent="0.35">
      <c r="A346" s="713" t="s">
        <v>762</v>
      </c>
      <c r="B346" s="714">
        <v>44347</v>
      </c>
      <c r="C346" s="713" t="s">
        <v>707</v>
      </c>
      <c r="D346" s="715">
        <v>7752</v>
      </c>
    </row>
    <row r="347" spans="1:4" s="683" customFormat="1" x14ac:dyDescent="0.35">
      <c r="A347" s="716" t="s">
        <v>769</v>
      </c>
      <c r="B347" s="717"/>
      <c r="C347" s="716"/>
      <c r="D347" s="718">
        <f>SUM(D346)</f>
        <v>7752</v>
      </c>
    </row>
    <row r="348" spans="1:4" x14ac:dyDescent="0.35">
      <c r="A348" s="684"/>
      <c r="B348" s="719"/>
      <c r="C348" s="684"/>
      <c r="D348" s="676"/>
    </row>
    <row r="349" spans="1:4" x14ac:dyDescent="0.35">
      <c r="A349" s="713" t="s">
        <v>763</v>
      </c>
      <c r="B349" s="714">
        <v>44347</v>
      </c>
      <c r="C349" s="713" t="s">
        <v>724</v>
      </c>
      <c r="D349" s="715">
        <v>0</v>
      </c>
    </row>
    <row r="350" spans="1:4" x14ac:dyDescent="0.35">
      <c r="A350" s="713" t="s">
        <v>763</v>
      </c>
      <c r="B350" s="714">
        <v>44347</v>
      </c>
      <c r="C350" s="713" t="s">
        <v>714</v>
      </c>
      <c r="D350" s="715">
        <v>11585.7</v>
      </c>
    </row>
    <row r="351" spans="1:4" x14ac:dyDescent="0.35">
      <c r="A351" s="713" t="s">
        <v>763</v>
      </c>
      <c r="B351" s="714">
        <v>44347</v>
      </c>
      <c r="C351" s="713" t="s">
        <v>707</v>
      </c>
      <c r="D351" s="715">
        <v>164185</v>
      </c>
    </row>
    <row r="352" spans="1:4" s="683" customFormat="1" x14ac:dyDescent="0.35">
      <c r="A352" s="716" t="s">
        <v>769</v>
      </c>
      <c r="B352" s="717"/>
      <c r="C352" s="716"/>
      <c r="D352" s="718">
        <f>SUM(D349:D351)</f>
        <v>175770.7</v>
      </c>
    </row>
    <row r="353" spans="1:4" x14ac:dyDescent="0.35">
      <c r="A353" s="684"/>
      <c r="B353" s="719"/>
      <c r="C353" s="684"/>
      <c r="D353" s="676"/>
    </row>
    <row r="354" spans="1:4" x14ac:dyDescent="0.35">
      <c r="A354" s="713" t="s">
        <v>764</v>
      </c>
      <c r="B354" s="714">
        <v>44347</v>
      </c>
      <c r="C354" s="713" t="s">
        <v>714</v>
      </c>
      <c r="D354" s="715">
        <v>1538.3</v>
      </c>
    </row>
    <row r="355" spans="1:4" x14ac:dyDescent="0.35">
      <c r="A355" s="713" t="s">
        <v>764</v>
      </c>
      <c r="B355" s="714">
        <v>44347</v>
      </c>
      <c r="C355" s="713" t="s">
        <v>713</v>
      </c>
      <c r="D355" s="715">
        <v>48</v>
      </c>
    </row>
    <row r="356" spans="1:4" x14ac:dyDescent="0.35">
      <c r="A356" s="713" t="s">
        <v>764</v>
      </c>
      <c r="B356" s="714">
        <v>44347</v>
      </c>
      <c r="C356" s="713" t="s">
        <v>707</v>
      </c>
      <c r="D356" s="715">
        <v>7947</v>
      </c>
    </row>
    <row r="357" spans="1:4" s="683" customFormat="1" x14ac:dyDescent="0.35">
      <c r="A357" s="716" t="s">
        <v>769</v>
      </c>
      <c r="B357" s="717"/>
      <c r="C357" s="716"/>
      <c r="D357" s="718">
        <f>SUM(D354:D356)</f>
        <v>9533.2999999999993</v>
      </c>
    </row>
    <row r="358" spans="1:4" x14ac:dyDescent="0.35">
      <c r="A358" s="684"/>
      <c r="B358" s="719"/>
      <c r="C358" s="684"/>
      <c r="D358" s="676"/>
    </row>
    <row r="359" spans="1:4" x14ac:dyDescent="0.35">
      <c r="A359" s="713" t="s">
        <v>765</v>
      </c>
      <c r="B359" s="714">
        <v>44347</v>
      </c>
      <c r="C359" s="713" t="s">
        <v>714</v>
      </c>
      <c r="D359" s="715">
        <v>188812.4</v>
      </c>
    </row>
    <row r="360" spans="1:4" x14ac:dyDescent="0.35">
      <c r="A360" s="713" t="s">
        <v>765</v>
      </c>
      <c r="B360" s="714">
        <v>44347</v>
      </c>
      <c r="C360" s="713" t="s">
        <v>707</v>
      </c>
      <c r="D360" s="715">
        <v>340742</v>
      </c>
    </row>
    <row r="361" spans="1:4" x14ac:dyDescent="0.35">
      <c r="A361" s="713" t="s">
        <v>765</v>
      </c>
      <c r="B361" s="714">
        <v>44347</v>
      </c>
      <c r="C361" s="713" t="s">
        <v>719</v>
      </c>
      <c r="D361" s="715">
        <v>5344.23</v>
      </c>
    </row>
    <row r="362" spans="1:4" x14ac:dyDescent="0.35">
      <c r="A362" s="713" t="s">
        <v>765</v>
      </c>
      <c r="B362" s="714">
        <v>44347</v>
      </c>
      <c r="C362" s="713" t="s">
        <v>713</v>
      </c>
      <c r="D362" s="715">
        <v>17648</v>
      </c>
    </row>
    <row r="363" spans="1:4" x14ac:dyDescent="0.35">
      <c r="A363" s="713" t="s">
        <v>765</v>
      </c>
      <c r="B363" s="714">
        <v>44347</v>
      </c>
      <c r="C363" s="713" t="s">
        <v>709</v>
      </c>
      <c r="D363" s="715">
        <v>76762.86</v>
      </c>
    </row>
    <row r="364" spans="1:4" x14ac:dyDescent="0.35">
      <c r="A364" s="713" t="s">
        <v>765</v>
      </c>
      <c r="B364" s="714">
        <v>44347</v>
      </c>
      <c r="C364" s="713" t="s">
        <v>712</v>
      </c>
      <c r="D364" s="715">
        <v>2242</v>
      </c>
    </row>
    <row r="365" spans="1:4" s="683" customFormat="1" x14ac:dyDescent="0.35">
      <c r="A365" s="716" t="s">
        <v>769</v>
      </c>
      <c r="B365" s="717"/>
      <c r="C365" s="716"/>
      <c r="D365" s="718">
        <f>SUM(D359:D364)</f>
        <v>631551.49</v>
      </c>
    </row>
    <row r="366" spans="1:4" x14ac:dyDescent="0.35">
      <c r="A366" s="684"/>
      <c r="B366" s="719"/>
      <c r="C366" s="684"/>
      <c r="D366" s="676"/>
    </row>
    <row r="367" spans="1:4" x14ac:dyDescent="0.35">
      <c r="A367" s="713" t="s">
        <v>766</v>
      </c>
      <c r="B367" s="714">
        <v>44347</v>
      </c>
      <c r="C367" s="713" t="s">
        <v>713</v>
      </c>
      <c r="D367" s="715">
        <v>573</v>
      </c>
    </row>
    <row r="368" spans="1:4" x14ac:dyDescent="0.35">
      <c r="A368" s="713" t="s">
        <v>766</v>
      </c>
      <c r="B368" s="714">
        <v>44347</v>
      </c>
      <c r="C368" s="713" t="s">
        <v>712</v>
      </c>
      <c r="D368" s="715">
        <v>110</v>
      </c>
    </row>
    <row r="369" spans="1:4" x14ac:dyDescent="0.35">
      <c r="A369" s="713" t="s">
        <v>766</v>
      </c>
      <c r="B369" s="714">
        <v>44347</v>
      </c>
      <c r="C369" s="713" t="s">
        <v>709</v>
      </c>
      <c r="D369" s="715">
        <v>15362.1</v>
      </c>
    </row>
    <row r="370" spans="1:4" x14ac:dyDescent="0.35">
      <c r="A370" s="713" t="s">
        <v>766</v>
      </c>
      <c r="B370" s="714">
        <v>44347</v>
      </c>
      <c r="C370" s="713" t="s">
        <v>707</v>
      </c>
      <c r="D370" s="715">
        <v>357766</v>
      </c>
    </row>
    <row r="371" spans="1:4" x14ac:dyDescent="0.35">
      <c r="A371" s="713" t="s">
        <v>766</v>
      </c>
      <c r="B371" s="714">
        <v>44347</v>
      </c>
      <c r="C371" s="713" t="s">
        <v>714</v>
      </c>
      <c r="D371" s="715">
        <v>50782.6</v>
      </c>
    </row>
    <row r="372" spans="1:4" s="683" customFormat="1" x14ac:dyDescent="0.35">
      <c r="A372" s="716" t="s">
        <v>769</v>
      </c>
      <c r="B372" s="717"/>
      <c r="C372" s="716"/>
      <c r="D372" s="718">
        <f>SUM(D367:D371)</f>
        <v>424593.69999999995</v>
      </c>
    </row>
    <row r="373" spans="1:4" x14ac:dyDescent="0.35">
      <c r="A373" s="684"/>
      <c r="B373" s="719"/>
      <c r="C373" s="684"/>
      <c r="D373" s="676"/>
    </row>
    <row r="374" spans="1:4" x14ac:dyDescent="0.35">
      <c r="A374" s="713" t="s">
        <v>767</v>
      </c>
      <c r="B374" s="714">
        <v>44347</v>
      </c>
      <c r="C374" s="713" t="s">
        <v>722</v>
      </c>
      <c r="D374" s="715">
        <v>-9009.26</v>
      </c>
    </row>
    <row r="375" spans="1:4" x14ac:dyDescent="0.35">
      <c r="A375" s="713" t="s">
        <v>767</v>
      </c>
      <c r="B375" s="714">
        <v>44347</v>
      </c>
      <c r="C375" s="713" t="s">
        <v>707</v>
      </c>
      <c r="D375" s="715">
        <v>26150</v>
      </c>
    </row>
    <row r="376" spans="1:4" x14ac:dyDescent="0.35">
      <c r="A376" s="713" t="s">
        <v>767</v>
      </c>
      <c r="B376" s="714">
        <v>44347</v>
      </c>
      <c r="C376" s="713" t="s">
        <v>709</v>
      </c>
      <c r="D376" s="715">
        <v>27624.75</v>
      </c>
    </row>
    <row r="377" spans="1:4" x14ac:dyDescent="0.35">
      <c r="A377" s="713" t="s">
        <v>767</v>
      </c>
      <c r="B377" s="714">
        <v>44347</v>
      </c>
      <c r="C377" s="713" t="s">
        <v>718</v>
      </c>
      <c r="D377" s="715">
        <v>-4292</v>
      </c>
    </row>
    <row r="378" spans="1:4" s="683" customFormat="1" x14ac:dyDescent="0.35">
      <c r="A378" s="716" t="s">
        <v>769</v>
      </c>
      <c r="B378" s="717"/>
      <c r="C378" s="716"/>
      <c r="D378" s="718">
        <f>SUM(D374:D377)</f>
        <v>40473.49</v>
      </c>
    </row>
    <row r="379" spans="1:4" x14ac:dyDescent="0.35">
      <c r="A379" s="713"/>
      <c r="B379" s="714"/>
      <c r="C379" s="713"/>
      <c r="D379" s="715"/>
    </row>
    <row r="380" spans="1:4" x14ac:dyDescent="0.35">
      <c r="A380" s="713" t="s">
        <v>771</v>
      </c>
      <c r="B380" s="714">
        <v>44347</v>
      </c>
      <c r="C380" s="713" t="s">
        <v>719</v>
      </c>
      <c r="D380" s="715">
        <v>13550.23</v>
      </c>
    </row>
    <row r="381" spans="1:4" s="683" customFormat="1" x14ac:dyDescent="0.35">
      <c r="A381" s="716" t="s">
        <v>769</v>
      </c>
      <c r="B381" s="717"/>
      <c r="C381" s="716"/>
      <c r="D381" s="718">
        <f>SUM(D380)</f>
        <v>13550.23</v>
      </c>
    </row>
    <row r="382" spans="1:4" x14ac:dyDescent="0.35">
      <c r="A382" s="684"/>
      <c r="B382" s="719"/>
      <c r="C382" s="684"/>
      <c r="D382" s="676"/>
    </row>
    <row r="383" spans="1:4" x14ac:dyDescent="0.35">
      <c r="A383" s="713" t="s">
        <v>768</v>
      </c>
      <c r="B383" s="714">
        <v>44347</v>
      </c>
      <c r="C383" s="713" t="s">
        <v>714</v>
      </c>
      <c r="D383" s="715">
        <v>136772.29999999999</v>
      </c>
    </row>
    <row r="384" spans="1:4" x14ac:dyDescent="0.35">
      <c r="A384" s="713" t="s">
        <v>768</v>
      </c>
      <c r="B384" s="714">
        <v>44347</v>
      </c>
      <c r="C384" s="713" t="s">
        <v>712</v>
      </c>
      <c r="D384" s="715">
        <v>250</v>
      </c>
    </row>
    <row r="385" spans="1:4" x14ac:dyDescent="0.35">
      <c r="A385" s="713" t="s">
        <v>768</v>
      </c>
      <c r="B385" s="714">
        <v>44347</v>
      </c>
      <c r="C385" s="713" t="s">
        <v>707</v>
      </c>
      <c r="D385" s="715">
        <v>388071.35</v>
      </c>
    </row>
    <row r="386" spans="1:4" x14ac:dyDescent="0.35">
      <c r="A386" s="713" t="s">
        <v>768</v>
      </c>
      <c r="B386" s="714">
        <v>44347</v>
      </c>
      <c r="C386" s="713" t="s">
        <v>713</v>
      </c>
      <c r="D386" s="715">
        <v>495</v>
      </c>
    </row>
    <row r="387" spans="1:4" x14ac:dyDescent="0.35">
      <c r="A387" s="713" t="s">
        <v>768</v>
      </c>
      <c r="B387" s="714">
        <v>44347</v>
      </c>
      <c r="C387" s="713" t="s">
        <v>718</v>
      </c>
      <c r="D387" s="715">
        <v>-117110</v>
      </c>
    </row>
    <row r="388" spans="1:4" x14ac:dyDescent="0.35">
      <c r="A388" s="713" t="s">
        <v>768</v>
      </c>
      <c r="B388" s="714">
        <v>44347</v>
      </c>
      <c r="C388" s="713" t="s">
        <v>719</v>
      </c>
      <c r="D388" s="715">
        <v>14805.93</v>
      </c>
    </row>
    <row r="389" spans="1:4" x14ac:dyDescent="0.35">
      <c r="A389" s="713" t="s">
        <v>768</v>
      </c>
      <c r="B389" s="714">
        <v>44347</v>
      </c>
      <c r="C389" s="713" t="s">
        <v>709</v>
      </c>
      <c r="D389" s="715">
        <v>38994.94</v>
      </c>
    </row>
    <row r="390" spans="1:4" s="683" customFormat="1" x14ac:dyDescent="0.35">
      <c r="A390" s="716" t="s">
        <v>769</v>
      </c>
      <c r="B390" s="717"/>
      <c r="C390" s="716"/>
      <c r="D390" s="718">
        <f>SUM(D383:D389)</f>
        <v>462279.5199999999</v>
      </c>
    </row>
    <row r="391" spans="1:4" s="683" customFormat="1" x14ac:dyDescent="0.35">
      <c r="A391" s="710" t="s">
        <v>665</v>
      </c>
      <c r="B391" s="710"/>
      <c r="C391" s="710"/>
      <c r="D391" s="712">
        <f>SUM(D2:D390)/2</f>
        <v>72986046.310000047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0E1CFA0F3F4B43A792C1BEEB071F68" ma:contentTypeVersion="16" ma:contentTypeDescription="Create a new document." ma:contentTypeScope="" ma:versionID="403b86843135d2f723857731ae92d152">
  <xsd:schema xmlns:xsd="http://www.w3.org/2001/XMLSchema" xmlns:xs="http://www.w3.org/2001/XMLSchema" xmlns:p="http://schemas.microsoft.com/office/2006/metadata/properties" xmlns:ns1="http://schemas.microsoft.com/sharepoint/v3" xmlns:ns3="797df028-51f8-42aa-8f30-76c5096d112d" xmlns:ns4="35f16fe5-9207-454c-821f-36cd3b89ffbf" targetNamespace="http://schemas.microsoft.com/office/2006/metadata/properties" ma:root="true" ma:fieldsID="ea39526ce50d5ea1593fac054add854c" ns1:_="" ns3:_="" ns4:_="">
    <xsd:import namespace="http://schemas.microsoft.com/sharepoint/v3"/>
    <xsd:import namespace="797df028-51f8-42aa-8f30-76c5096d112d"/>
    <xsd:import namespace="35f16fe5-9207-454c-821f-36cd3b89ffb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7df028-51f8-42aa-8f30-76c5096d11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f16fe5-9207-454c-821f-36cd3b89ffb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A79A274-8085-4D09-B9F8-D75E9C794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7df028-51f8-42aa-8f30-76c5096d112d"/>
    <ds:schemaRef ds:uri="35f16fe5-9207-454c-821f-36cd3b89ff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4D738-EFB4-48B4-93A5-36628C1976D5}">
  <ds:schemaRefs>
    <ds:schemaRef ds:uri="http://schemas.microsoft.com/sharepoint/v3/contenttype/forms"/>
  </ds:schemaRefs>
</ds:datastoreItem>
</file>

<file path=customXml/itemProps3.xml><?xml version="1.0" encoding="utf-8"?>
<ds:datastoreItem xmlns:ds="http://schemas.openxmlformats.org/officeDocument/2006/customXml" ds:itemID="{16860204-958D-4154-9B56-9C0864CE1570}">
  <ds:schemaRef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purl.org/dc/terms/"/>
    <ds:schemaRef ds:uri="797df028-51f8-42aa-8f30-76c5096d112d"/>
    <ds:schemaRef ds:uri="http://schemas.openxmlformats.org/package/2006/metadata/core-properties"/>
    <ds:schemaRef ds:uri="35f16fe5-9207-454c-821f-36cd3b89ffbf"/>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5</vt:i4>
      </vt:variant>
    </vt:vector>
  </HeadingPairs>
  <TitlesOfParts>
    <vt:vector size="50" baseType="lpstr">
      <vt:lpstr>Active Debtors</vt:lpstr>
      <vt:lpstr>Inactive Debtors</vt:lpstr>
      <vt:lpstr>Sheet3</vt:lpstr>
      <vt:lpstr>Sheet1</vt:lpstr>
      <vt:lpstr>Sheet2</vt:lpstr>
      <vt:lpstr>2013-2014</vt:lpstr>
      <vt:lpstr>2014-2015</vt:lpstr>
      <vt:lpstr>2015-2016</vt:lpstr>
      <vt:lpstr>2016-2017</vt:lpstr>
      <vt:lpstr>2017-2018</vt:lpstr>
      <vt:lpstr>2018-2019</vt:lpstr>
      <vt:lpstr>2019-2020</vt:lpstr>
      <vt:lpstr>2020-2021</vt:lpstr>
      <vt:lpstr>Sheet4</vt:lpstr>
      <vt:lpstr>Sheet5</vt:lpstr>
      <vt:lpstr>2021-2022</vt:lpstr>
      <vt:lpstr>Sheet20</vt:lpstr>
      <vt:lpstr>Sheet22</vt:lpstr>
      <vt:lpstr>Debtors report</vt:lpstr>
      <vt:lpstr>Sheet26</vt:lpstr>
      <vt:lpstr>Sheet28</vt:lpstr>
      <vt:lpstr>Sheet29</vt:lpstr>
      <vt:lpstr>Sheet27</vt:lpstr>
      <vt:lpstr>income report</vt:lpstr>
      <vt:lpstr>Sheet30</vt:lpstr>
      <vt:lpstr>DISPUTES</vt:lpstr>
      <vt:lpstr>CREDIT BALANCE</vt:lpstr>
      <vt:lpstr>Sheet25</vt:lpstr>
      <vt:lpstr>Sheet19</vt:lpstr>
      <vt:lpstr>Sheet24</vt:lpstr>
      <vt:lpstr>Sheet23</vt:lpstr>
      <vt:lpstr>Sheet9</vt:lpstr>
      <vt:lpstr>Sheet8</vt:lpstr>
      <vt:lpstr>Sheet11</vt:lpstr>
      <vt:lpstr>Sheet10</vt:lpstr>
      <vt:lpstr>Sheet12</vt:lpstr>
      <vt:lpstr>Sheet13</vt:lpstr>
      <vt:lpstr>Sheet14</vt:lpstr>
      <vt:lpstr>Sheet15</vt:lpstr>
      <vt:lpstr>Sheet17</vt:lpstr>
      <vt:lpstr>Sheet18</vt:lpstr>
      <vt:lpstr>Sheet16</vt:lpstr>
      <vt:lpstr>Sheet21</vt:lpstr>
      <vt:lpstr>Sheet6</vt:lpstr>
      <vt:lpstr>Sheet7</vt:lpstr>
      <vt:lpstr>'2014-2015'!Print_Area</vt:lpstr>
      <vt:lpstr>'2015-2016'!Print_Area</vt:lpstr>
      <vt:lpstr>'2016-2017'!Print_Area</vt:lpstr>
      <vt:lpstr>'Inactive Debtors'!Print_Area</vt:lpstr>
      <vt:lpstr>Sheet3!Print_Area</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nozukot</dc:creator>
  <cp:keywords/>
  <dc:description/>
  <cp:lastModifiedBy>Martins,Shoneez (GPDRT)</cp:lastModifiedBy>
  <cp:revision/>
  <cp:lastPrinted>2022-03-10T09:56:42Z</cp:lastPrinted>
  <dcterms:created xsi:type="dcterms:W3CDTF">2011-06-20T06:27:18Z</dcterms:created>
  <dcterms:modified xsi:type="dcterms:W3CDTF">2022-10-31T13:32:30Z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0x010100FC0E1CFA0F3F4B43A792C1BEEB071F68</vt:lpwstr>
  </property>
</Properties>
</file>